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C:\Users\KMcEwan\Documents\"/>
    </mc:Choice>
  </mc:AlternateContent>
  <xr:revisionPtr revIDLastSave="0" documentId="8_{58DA7A12-71CA-469C-B92F-46F566EF5CC2}" xr6:coauthVersionLast="47" xr6:coauthVersionMax="47" xr10:uidLastSave="{00000000-0000-0000-0000-000000000000}"/>
  <bookViews>
    <workbookView xWindow="-108" yWindow="-108" windowWidth="23256" windowHeight="12576" firstSheet="1" activeTab="1" xr2:uid="{BB94442E-717C-4594-9054-12A9830E431E}"/>
  </bookViews>
  <sheets>
    <sheet name="Assumptions" sheetId="12" state="hidden" r:id="rId1"/>
    <sheet name="Instructions" sheetId="14" r:id="rId2"/>
    <sheet name="Weekly" sheetId="2" r:id="rId3"/>
    <sheet name="Coverage Ratio" sheetId="13" state="hidden" r:id="rId4"/>
    <sheet name="Weekly outflows - detail" sheetId="1" r:id="rId5"/>
    <sheet name="Variables &amp; Notes" sheetId="9" state="hidden" r:id="rId6"/>
    <sheet name="Debt Refi Proforma" sheetId="11" state="hidden" r:id="rId7"/>
  </sheets>
  <definedNames>
    <definedName name="_xlnm._FilterDatabase" localSheetId="4" hidden="1">'Weekly outflows - detail'!$B$6:$P$27</definedName>
    <definedName name="August">'Weekly outflows - detail'!$D$7:$D$27</definedName>
    <definedName name="Insurance">'Weekly outflows - detail'!$C$14:$E$14</definedName>
    <definedName name="July">'Weekly outflows - detail'!$C$7:$C$27</definedName>
    <definedName name="Loans___Leases">'Weekly outflows - detail'!$C$7:$E$7</definedName>
    <definedName name="Payroll">'Weekly outflows - detail'!$C$12:$E$12</definedName>
    <definedName name="_xlnm.Print_Area" localSheetId="0">Assumptions!$A$1:$C$12</definedName>
    <definedName name="_xlnm.Print_Area" localSheetId="3">'Coverage Ratio'!$A$1:$F$56</definedName>
    <definedName name="_xlnm.Print_Area" localSheetId="5">'Variables &amp; Notes'!$A$1:$P$16</definedName>
    <definedName name="_xlnm.Print_Area" localSheetId="2">Weekly!$C$1:$O$35</definedName>
    <definedName name="_xlnm.Print_Area" localSheetId="4">'Weekly outflows - detail'!$B$6:$Q$28</definedName>
    <definedName name="_xlnm.Print_Titles" localSheetId="4">'Weekly outflows - detail'!$6:$6</definedName>
    <definedName name="September">'Weekly outflows - detail'!$E$7:$E$27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1" l="1"/>
  <c r="C38" i="1" s="1"/>
  <c r="C28" i="1"/>
  <c r="D28" i="1"/>
  <c r="E28" i="1"/>
  <c r="B1" i="1"/>
  <c r="C1" i="2"/>
  <c r="I38" i="1" l="1"/>
  <c r="H38" i="1"/>
  <c r="O38" i="1"/>
  <c r="G38" i="1"/>
  <c r="N38" i="1"/>
  <c r="M38" i="1"/>
  <c r="E38" i="1"/>
  <c r="J38" i="1"/>
  <c r="F38" i="1"/>
  <c r="L38" i="1"/>
  <c r="D38" i="1"/>
  <c r="K38" i="1"/>
  <c r="T5" i="14"/>
  <c r="C31" i="1" l="1"/>
  <c r="D6" i="2"/>
  <c r="D5" i="1"/>
  <c r="E5" i="1" l="1"/>
  <c r="E6" i="2"/>
  <c r="D31" i="1"/>
  <c r="B41" i="1"/>
  <c r="B42" i="1"/>
  <c r="B43" i="1"/>
  <c r="B40" i="1"/>
  <c r="B33" i="1"/>
  <c r="B34" i="1"/>
  <c r="B35" i="1"/>
  <c r="B36" i="1"/>
  <c r="B37" i="1"/>
  <c r="B39" i="1"/>
  <c r="B32" i="1"/>
  <c r="E24" i="2" l="1"/>
  <c r="D31" i="2"/>
  <c r="D24" i="2"/>
  <c r="G32" i="1"/>
  <c r="H32" i="1"/>
  <c r="I32" i="1"/>
  <c r="J32" i="1"/>
  <c r="K32" i="1"/>
  <c r="L32" i="1"/>
  <c r="M32" i="1"/>
  <c r="N32" i="1"/>
  <c r="O32" i="1"/>
  <c r="F32" i="1"/>
  <c r="E32" i="1"/>
  <c r="C32" i="1"/>
  <c r="D18" i="2" s="1"/>
  <c r="D32" i="1"/>
  <c r="E18" i="2" s="1"/>
  <c r="F34" i="1"/>
  <c r="G34" i="1"/>
  <c r="H34" i="1"/>
  <c r="I34" i="1"/>
  <c r="J34" i="1"/>
  <c r="K34" i="1"/>
  <c r="L34" i="1"/>
  <c r="M34" i="1"/>
  <c r="N34" i="1"/>
  <c r="O34" i="1"/>
  <c r="C34" i="1"/>
  <c r="D20" i="2" s="1"/>
  <c r="D34" i="1"/>
  <c r="E20" i="2" s="1"/>
  <c r="E34" i="1"/>
  <c r="F33" i="1"/>
  <c r="G33" i="1"/>
  <c r="H33" i="1"/>
  <c r="I33" i="1"/>
  <c r="J33" i="1"/>
  <c r="K33" i="1"/>
  <c r="L33" i="1"/>
  <c r="M33" i="1"/>
  <c r="N33" i="1"/>
  <c r="O33" i="1"/>
  <c r="C33" i="1"/>
  <c r="D19" i="2" s="1"/>
  <c r="D33" i="1"/>
  <c r="E19" i="2" s="1"/>
  <c r="E33" i="1"/>
  <c r="F40" i="1"/>
  <c r="G40" i="1"/>
  <c r="H40" i="1"/>
  <c r="I40" i="1"/>
  <c r="J40" i="1"/>
  <c r="K40" i="1"/>
  <c r="L40" i="1"/>
  <c r="M40" i="1"/>
  <c r="N40" i="1"/>
  <c r="O40" i="1"/>
  <c r="C40" i="1"/>
  <c r="D28" i="2" s="1"/>
  <c r="D40" i="1"/>
  <c r="E28" i="2" s="1"/>
  <c r="E40" i="1"/>
  <c r="F43" i="1"/>
  <c r="G43" i="1"/>
  <c r="H43" i="1"/>
  <c r="I43" i="1"/>
  <c r="J43" i="1"/>
  <c r="K43" i="1"/>
  <c r="L43" i="1"/>
  <c r="M43" i="1"/>
  <c r="N43" i="1"/>
  <c r="O43" i="1"/>
  <c r="C43" i="1"/>
  <c r="D43" i="1"/>
  <c r="E31" i="2" s="1"/>
  <c r="E43" i="1"/>
  <c r="F42" i="1"/>
  <c r="G42" i="1"/>
  <c r="H42" i="1"/>
  <c r="I42" i="1"/>
  <c r="J42" i="1"/>
  <c r="K42" i="1"/>
  <c r="L42" i="1"/>
  <c r="M42" i="1"/>
  <c r="N42" i="1"/>
  <c r="O42" i="1"/>
  <c r="C42" i="1"/>
  <c r="D30" i="2" s="1"/>
  <c r="D42" i="1"/>
  <c r="E30" i="2" s="1"/>
  <c r="E42" i="1"/>
  <c r="F41" i="1"/>
  <c r="G41" i="1"/>
  <c r="H41" i="1"/>
  <c r="I41" i="1"/>
  <c r="J41" i="1"/>
  <c r="K41" i="1"/>
  <c r="L41" i="1"/>
  <c r="M41" i="1"/>
  <c r="N41" i="1"/>
  <c r="O41" i="1"/>
  <c r="C41" i="1"/>
  <c r="D29" i="2" s="1"/>
  <c r="D41" i="1"/>
  <c r="E29" i="2" s="1"/>
  <c r="E41" i="1"/>
  <c r="F37" i="1"/>
  <c r="G37" i="1"/>
  <c r="H37" i="1"/>
  <c r="I37" i="1"/>
  <c r="J37" i="1"/>
  <c r="K37" i="1"/>
  <c r="L37" i="1"/>
  <c r="M37" i="1"/>
  <c r="N37" i="1"/>
  <c r="O37" i="1"/>
  <c r="C37" i="1"/>
  <c r="D23" i="2" s="1"/>
  <c r="D37" i="1"/>
  <c r="E23" i="2" s="1"/>
  <c r="E37" i="1"/>
  <c r="F39" i="1"/>
  <c r="G39" i="1"/>
  <c r="H39" i="1"/>
  <c r="I39" i="1"/>
  <c r="J39" i="1"/>
  <c r="K39" i="1"/>
  <c r="L39" i="1"/>
  <c r="M39" i="1"/>
  <c r="N39" i="1"/>
  <c r="O39" i="1"/>
  <c r="C39" i="1"/>
  <c r="D25" i="2" s="1"/>
  <c r="D39" i="1"/>
  <c r="E25" i="2" s="1"/>
  <c r="E39" i="1"/>
  <c r="F35" i="1"/>
  <c r="G35" i="1"/>
  <c r="H35" i="1"/>
  <c r="I35" i="1"/>
  <c r="J35" i="1"/>
  <c r="K35" i="1"/>
  <c r="L35" i="1"/>
  <c r="M35" i="1"/>
  <c r="N35" i="1"/>
  <c r="O35" i="1"/>
  <c r="C35" i="1"/>
  <c r="D21" i="2" s="1"/>
  <c r="D35" i="1"/>
  <c r="E21" i="2" s="1"/>
  <c r="E35" i="1"/>
  <c r="F36" i="1"/>
  <c r="G36" i="1"/>
  <c r="H36" i="1"/>
  <c r="I36" i="1"/>
  <c r="J36" i="1"/>
  <c r="K36" i="1"/>
  <c r="L36" i="1"/>
  <c r="M36" i="1"/>
  <c r="N36" i="1"/>
  <c r="O36" i="1"/>
  <c r="D36" i="1"/>
  <c r="E22" i="2" s="1"/>
  <c r="E36" i="1"/>
  <c r="C36" i="1"/>
  <c r="D22" i="2" s="1"/>
  <c r="F5" i="1"/>
  <c r="E31" i="1"/>
  <c r="F6" i="2"/>
  <c r="F28" i="1"/>
  <c r="G28" i="1"/>
  <c r="H28" i="1"/>
  <c r="I28" i="1"/>
  <c r="J28" i="1"/>
  <c r="K28" i="1"/>
  <c r="L28" i="1"/>
  <c r="M28" i="1"/>
  <c r="N28" i="1"/>
  <c r="O28" i="1"/>
  <c r="F23" i="2" l="1"/>
  <c r="F28" i="2"/>
  <c r="F18" i="2"/>
  <c r="F25" i="2"/>
  <c r="F31" i="2"/>
  <c r="F21" i="2"/>
  <c r="F24" i="2"/>
  <c r="F29" i="2"/>
  <c r="F19" i="2"/>
  <c r="F22" i="2"/>
  <c r="F30" i="2"/>
  <c r="F20" i="2"/>
  <c r="G5" i="1"/>
  <c r="F31" i="1"/>
  <c r="G6" i="2"/>
  <c r="O45" i="1"/>
  <c r="O47" i="1" s="1"/>
  <c r="N45" i="1"/>
  <c r="N47" i="1" s="1"/>
  <c r="L45" i="1"/>
  <c r="L47" i="1" s="1"/>
  <c r="K45" i="1"/>
  <c r="K47" i="1" s="1"/>
  <c r="H45" i="1"/>
  <c r="H47" i="1" s="1"/>
  <c r="G45" i="1"/>
  <c r="G47" i="1" s="1"/>
  <c r="M45" i="1"/>
  <c r="M47" i="1" s="1"/>
  <c r="I45" i="1"/>
  <c r="I47" i="1" s="1"/>
  <c r="J45" i="1"/>
  <c r="J47" i="1" s="1"/>
  <c r="F45" i="1"/>
  <c r="F47" i="1" s="1"/>
  <c r="G28" i="2" l="1"/>
  <c r="G18" i="2"/>
  <c r="G31" i="2"/>
  <c r="G21" i="2"/>
  <c r="G24" i="2"/>
  <c r="G20" i="2"/>
  <c r="G29" i="2"/>
  <c r="G19" i="2"/>
  <c r="G30" i="2"/>
  <c r="G22" i="2"/>
  <c r="G25" i="2"/>
  <c r="G23" i="2"/>
  <c r="H5" i="1"/>
  <c r="H6" i="2"/>
  <c r="G31" i="1"/>
  <c r="H31" i="2" l="1"/>
  <c r="H21" i="2"/>
  <c r="H24" i="2"/>
  <c r="H29" i="2"/>
  <c r="H19" i="2"/>
  <c r="H22" i="2"/>
  <c r="H23" i="2"/>
  <c r="H25" i="2"/>
  <c r="H30" i="2"/>
  <c r="H20" i="2"/>
  <c r="H28" i="2"/>
  <c r="H18" i="2"/>
  <c r="I5" i="1"/>
  <c r="H31" i="1"/>
  <c r="I6" i="2"/>
  <c r="I24" i="2" l="1"/>
  <c r="I28" i="2"/>
  <c r="I29" i="2"/>
  <c r="I19" i="2"/>
  <c r="I22" i="2"/>
  <c r="I25" i="2"/>
  <c r="I18" i="2"/>
  <c r="I30" i="2"/>
  <c r="I20" i="2"/>
  <c r="I23" i="2"/>
  <c r="I31" i="2"/>
  <c r="I21" i="2"/>
  <c r="J5" i="1"/>
  <c r="I31" i="1"/>
  <c r="J6" i="2"/>
  <c r="J29" i="2" l="1"/>
  <c r="J19" i="2"/>
  <c r="J22" i="2"/>
  <c r="J31" i="2"/>
  <c r="J25" i="2"/>
  <c r="J21" i="2"/>
  <c r="J30" i="2"/>
  <c r="J20" i="2"/>
  <c r="J23" i="2"/>
  <c r="J28" i="2"/>
  <c r="J18" i="2"/>
  <c r="J24" i="2"/>
  <c r="K5" i="1"/>
  <c r="K6" i="2"/>
  <c r="J31" i="1"/>
  <c r="E45" i="1"/>
  <c r="E47" i="1" s="1"/>
  <c r="C45" i="1"/>
  <c r="D45" i="1"/>
  <c r="D47" i="1" s="1"/>
  <c r="K22" i="2" l="1"/>
  <c r="K25" i="2"/>
  <c r="K30" i="2"/>
  <c r="K20" i="2"/>
  <c r="K24" i="2"/>
  <c r="K23" i="2"/>
  <c r="K28" i="2"/>
  <c r="K18" i="2"/>
  <c r="K31" i="2"/>
  <c r="K21" i="2"/>
  <c r="K29" i="2"/>
  <c r="K19" i="2"/>
  <c r="L5" i="1"/>
  <c r="L6" i="2"/>
  <c r="K31" i="1"/>
  <c r="J26" i="2"/>
  <c r="H32" i="2"/>
  <c r="H26" i="2"/>
  <c r="F32" i="2"/>
  <c r="D32" i="2"/>
  <c r="G32" i="2"/>
  <c r="C47" i="1"/>
  <c r="P45" i="1"/>
  <c r="E32" i="2"/>
  <c r="I32" i="2"/>
  <c r="I26" i="2"/>
  <c r="J32" i="2"/>
  <c r="G26" i="2"/>
  <c r="AG24" i="13"/>
  <c r="AC31" i="13"/>
  <c r="Z24" i="13"/>
  <c r="L25" i="2" l="1"/>
  <c r="L19" i="2"/>
  <c r="L30" i="2"/>
  <c r="L20" i="2"/>
  <c r="L23" i="2"/>
  <c r="L29" i="2"/>
  <c r="L28" i="2"/>
  <c r="L18" i="2"/>
  <c r="L31" i="2"/>
  <c r="L21" i="2"/>
  <c r="L24" i="2"/>
  <c r="L22" i="2"/>
  <c r="K32" i="2"/>
  <c r="G33" i="2"/>
  <c r="M5" i="1"/>
  <c r="L31" i="1"/>
  <c r="M6" i="2"/>
  <c r="J33" i="2"/>
  <c r="H33" i="2"/>
  <c r="I33" i="2"/>
  <c r="AE25" i="13"/>
  <c r="AE26" i="13"/>
  <c r="AE24" i="13"/>
  <c r="Z31" i="13"/>
  <c r="F7" i="13" s="1"/>
  <c r="M30" i="2" l="1"/>
  <c r="M20" i="2"/>
  <c r="M23" i="2"/>
  <c r="M28" i="2"/>
  <c r="M18" i="2"/>
  <c r="M22" i="2"/>
  <c r="M31" i="2"/>
  <c r="M21" i="2"/>
  <c r="M24" i="2"/>
  <c r="M29" i="2"/>
  <c r="M19" i="2"/>
  <c r="M25" i="2"/>
  <c r="L32" i="2"/>
  <c r="N5" i="1"/>
  <c r="N6" i="2"/>
  <c r="M31" i="1"/>
  <c r="L26" i="2"/>
  <c r="R51" i="13"/>
  <c r="R23" i="13" s="1"/>
  <c r="F51" i="13"/>
  <c r="F23" i="13" s="1"/>
  <c r="F46" i="13"/>
  <c r="L45" i="13"/>
  <c r="L46" i="13" s="1"/>
  <c r="L36" i="13"/>
  <c r="R36" i="13"/>
  <c r="F36" i="13"/>
  <c r="R35" i="13"/>
  <c r="L35" i="13"/>
  <c r="F35" i="13"/>
  <c r="N23" i="2" l="1"/>
  <c r="N28" i="2"/>
  <c r="N18" i="2"/>
  <c r="N31" i="2"/>
  <c r="N21" i="2"/>
  <c r="N24" i="2"/>
  <c r="N25" i="2"/>
  <c r="N29" i="2"/>
  <c r="N19" i="2"/>
  <c r="N22" i="2"/>
  <c r="N30" i="2"/>
  <c r="N20" i="2"/>
  <c r="L33" i="2"/>
  <c r="O5" i="1"/>
  <c r="N31" i="1"/>
  <c r="O6" i="2"/>
  <c r="M26" i="2"/>
  <c r="M32" i="2"/>
  <c r="R37" i="13"/>
  <c r="R56" i="13"/>
  <c r="R24" i="13" s="1"/>
  <c r="R25" i="13" s="1"/>
  <c r="F21" i="13"/>
  <c r="L56" i="13"/>
  <c r="L20" i="13" s="1"/>
  <c r="R21" i="13"/>
  <c r="L16" i="13"/>
  <c r="L51" i="13"/>
  <c r="L19" i="13" s="1"/>
  <c r="F56" i="13"/>
  <c r="F24" i="13" s="1"/>
  <c r="F25" i="13" s="1"/>
  <c r="F37" i="13"/>
  <c r="L37" i="13"/>
  <c r="O28" i="2" l="1"/>
  <c r="O18" i="2"/>
  <c r="O30" i="2"/>
  <c r="O31" i="2"/>
  <c r="O21" i="2"/>
  <c r="O24" i="2"/>
  <c r="O29" i="2"/>
  <c r="O19" i="2"/>
  <c r="O20" i="2"/>
  <c r="O22" i="2"/>
  <c r="O25" i="2"/>
  <c r="O23" i="2"/>
  <c r="N26" i="2"/>
  <c r="N32" i="2"/>
  <c r="M33" i="2"/>
  <c r="P6" i="2"/>
  <c r="O31" i="1"/>
  <c r="R30" i="13"/>
  <c r="L21" i="13"/>
  <c r="L26" i="13" s="1"/>
  <c r="F30" i="13"/>
  <c r="F27" i="13"/>
  <c r="R27" i="13"/>
  <c r="P31" i="2" l="1"/>
  <c r="P21" i="2"/>
  <c r="P23" i="2"/>
  <c r="P24" i="2"/>
  <c r="P29" i="2"/>
  <c r="P19" i="2"/>
  <c r="P22" i="2"/>
  <c r="P25" i="2"/>
  <c r="P30" i="2"/>
  <c r="P20" i="2"/>
  <c r="P28" i="2"/>
  <c r="P18" i="2"/>
  <c r="O32" i="2"/>
  <c r="N33" i="2"/>
  <c r="L23" i="13"/>
  <c r="P26" i="2" l="1"/>
  <c r="P32" i="2"/>
  <c r="E28" i="11"/>
  <c r="P33" i="2" l="1"/>
  <c r="B14" i="9"/>
  <c r="O6" i="9" l="1"/>
  <c r="O7" i="9"/>
  <c r="O5" i="9"/>
  <c r="N8" i="9"/>
  <c r="M8" i="9"/>
  <c r="N9" i="9" s="1"/>
  <c r="O8" i="9" l="1"/>
  <c r="P9" i="9" s="1"/>
  <c r="B12" i="9" s="1"/>
  <c r="X10" i="11" l="1"/>
  <c r="X9" i="11"/>
  <c r="P11" i="11"/>
  <c r="J8" i="11" l="1"/>
  <c r="J15" i="11" s="1"/>
  <c r="P5" i="11" l="1"/>
  <c r="P9" i="11" l="1"/>
  <c r="P10" i="11"/>
  <c r="G27" i="11"/>
  <c r="F28" i="11"/>
  <c r="D28" i="11" l="1"/>
  <c r="D17" i="11" s="1"/>
  <c r="B29" i="11"/>
  <c r="C27" i="11"/>
  <c r="C28" i="11" s="1"/>
  <c r="F29" i="11" l="1"/>
  <c r="E29" i="11"/>
  <c r="B30" i="11"/>
  <c r="C29" i="11"/>
  <c r="D29" i="11" l="1"/>
  <c r="E30" i="11"/>
  <c r="C30" i="11"/>
  <c r="F30" i="11"/>
  <c r="G28" i="11"/>
  <c r="B31" i="11"/>
  <c r="C31" i="11" l="1"/>
  <c r="F31" i="11"/>
  <c r="E31" i="11"/>
  <c r="D30" i="11"/>
  <c r="G29" i="11"/>
  <c r="G30" i="11" s="1"/>
  <c r="B32" i="11"/>
  <c r="D31" i="11" l="1"/>
  <c r="F32" i="11"/>
  <c r="E32" i="11"/>
  <c r="C32" i="11"/>
  <c r="B33" i="11"/>
  <c r="G31" i="11"/>
  <c r="P12" i="11" l="1"/>
  <c r="P13" i="11" s="1"/>
  <c r="D32" i="11"/>
  <c r="F33" i="11"/>
  <c r="E33" i="11"/>
  <c r="G32" i="11"/>
  <c r="B34" i="11"/>
  <c r="C33" i="11"/>
  <c r="D33" i="11" l="1"/>
  <c r="F34" i="11"/>
  <c r="E34" i="11"/>
  <c r="G33" i="11"/>
  <c r="C34" i="11"/>
  <c r="B35" i="11"/>
  <c r="D34" i="11" l="1"/>
  <c r="F35" i="11"/>
  <c r="E35" i="11"/>
  <c r="G34" i="11"/>
  <c r="B36" i="11"/>
  <c r="C35" i="11"/>
  <c r="O26" i="2" l="1"/>
  <c r="O33" i="2" s="1"/>
  <c r="K26" i="2"/>
  <c r="K33" i="2" s="1"/>
  <c r="E26" i="2"/>
  <c r="E33" i="2" s="1"/>
  <c r="D26" i="2"/>
  <c r="D33" i="2" s="1"/>
  <c r="F26" i="2"/>
  <c r="F33" i="2" s="1"/>
  <c r="D35" i="11"/>
  <c r="F36" i="11"/>
  <c r="E36" i="11"/>
  <c r="G35" i="11"/>
  <c r="C36" i="11"/>
  <c r="B37" i="11"/>
  <c r="D34" i="2" l="1"/>
  <c r="D38" i="2" s="1"/>
  <c r="P47" i="1"/>
  <c r="D36" i="11"/>
  <c r="F37" i="11"/>
  <c r="E37" i="11"/>
  <c r="G36" i="11"/>
  <c r="C37" i="11"/>
  <c r="B38" i="11"/>
  <c r="E8" i="2" l="1"/>
  <c r="E34" i="2" s="1"/>
  <c r="E38" i="2" s="1"/>
  <c r="D37" i="11"/>
  <c r="F38" i="11"/>
  <c r="E38" i="11"/>
  <c r="G37" i="11"/>
  <c r="C38" i="11"/>
  <c r="B39" i="11"/>
  <c r="D38" i="11" l="1"/>
  <c r="F39" i="11"/>
  <c r="E39" i="11"/>
  <c r="G38" i="11"/>
  <c r="C39" i="11"/>
  <c r="B40" i="11"/>
  <c r="D39" i="11" l="1"/>
  <c r="F40" i="11"/>
  <c r="E40" i="11"/>
  <c r="G39" i="11"/>
  <c r="C40" i="11"/>
  <c r="B41" i="11"/>
  <c r="D40" i="11" l="1"/>
  <c r="F41" i="11"/>
  <c r="E41" i="11"/>
  <c r="G40" i="11"/>
  <c r="C41" i="11"/>
  <c r="B42" i="11"/>
  <c r="D41" i="11" l="1"/>
  <c r="E42" i="11"/>
  <c r="F42" i="11"/>
  <c r="G41" i="11"/>
  <c r="C42" i="11"/>
  <c r="B43" i="11"/>
  <c r="F43" i="11" l="1"/>
  <c r="E43" i="11"/>
  <c r="D42" i="11"/>
  <c r="G42" i="11"/>
  <c r="C43" i="11"/>
  <c r="B44" i="11"/>
  <c r="D43" i="11" l="1"/>
  <c r="F44" i="11"/>
  <c r="E44" i="11"/>
  <c r="G43" i="11"/>
  <c r="C44" i="11"/>
  <c r="B45" i="11"/>
  <c r="D44" i="11" l="1"/>
  <c r="F45" i="11"/>
  <c r="E45" i="11"/>
  <c r="G44" i="11"/>
  <c r="C45" i="11"/>
  <c r="B46" i="11"/>
  <c r="D45" i="11" l="1"/>
  <c r="E46" i="11"/>
  <c r="F46" i="11"/>
  <c r="G45" i="11"/>
  <c r="C46" i="11"/>
  <c r="B47" i="11"/>
  <c r="F47" i="11" l="1"/>
  <c r="E47" i="11"/>
  <c r="D46" i="11"/>
  <c r="G46" i="11"/>
  <c r="C47" i="11"/>
  <c r="B48" i="11"/>
  <c r="D47" i="11" l="1"/>
  <c r="F48" i="11"/>
  <c r="E48" i="11"/>
  <c r="G47" i="11"/>
  <c r="C48" i="11"/>
  <c r="B49" i="11"/>
  <c r="D48" i="11" l="1"/>
  <c r="F49" i="11"/>
  <c r="E49" i="11"/>
  <c r="G48" i="11"/>
  <c r="C49" i="11"/>
  <c r="B50" i="11"/>
  <c r="D49" i="11" l="1"/>
  <c r="F50" i="11"/>
  <c r="E50" i="11"/>
  <c r="G49" i="11"/>
  <c r="C50" i="11"/>
  <c r="B51" i="11"/>
  <c r="D50" i="11" l="1"/>
  <c r="F51" i="11"/>
  <c r="E51" i="11"/>
  <c r="G50" i="11"/>
  <c r="C51" i="11"/>
  <c r="B52" i="11"/>
  <c r="D51" i="11" l="1"/>
  <c r="F52" i="11"/>
  <c r="E52" i="11"/>
  <c r="G51" i="11"/>
  <c r="C52" i="11"/>
  <c r="B53" i="11"/>
  <c r="D52" i="11" l="1"/>
  <c r="F53" i="11"/>
  <c r="E53" i="11"/>
  <c r="G52" i="11"/>
  <c r="C53" i="11"/>
  <c r="B54" i="11"/>
  <c r="D53" i="11" l="1"/>
  <c r="E54" i="11"/>
  <c r="F54" i="11"/>
  <c r="G53" i="11"/>
  <c r="C54" i="11"/>
  <c r="B55" i="11"/>
  <c r="F55" i="11" l="1"/>
  <c r="E55" i="11"/>
  <c r="D54" i="11"/>
  <c r="G54" i="11"/>
  <c r="C55" i="11"/>
  <c r="B56" i="11"/>
  <c r="D55" i="11" l="1"/>
  <c r="F56" i="11"/>
  <c r="E56" i="11"/>
  <c r="G55" i="11"/>
  <c r="C56" i="11"/>
  <c r="B57" i="11"/>
  <c r="D56" i="11" l="1"/>
  <c r="F57" i="11"/>
  <c r="E57" i="11"/>
  <c r="G56" i="11"/>
  <c r="C57" i="11"/>
  <c r="B58" i="11"/>
  <c r="D57" i="11" l="1"/>
  <c r="F58" i="11"/>
  <c r="E58" i="11"/>
  <c r="G57" i="11"/>
  <c r="C58" i="11"/>
  <c r="B59" i="11"/>
  <c r="D58" i="11" l="1"/>
  <c r="F59" i="11"/>
  <c r="E59" i="11"/>
  <c r="G58" i="11"/>
  <c r="C59" i="11"/>
  <c r="B60" i="11"/>
  <c r="D59" i="11" l="1"/>
  <c r="B61" i="11"/>
  <c r="F60" i="11"/>
  <c r="E60" i="11"/>
  <c r="G59" i="11"/>
  <c r="C60" i="11"/>
  <c r="D60" i="11" l="1"/>
  <c r="C61" i="11"/>
  <c r="E61" i="11"/>
  <c r="F61" i="11"/>
  <c r="B62" i="11"/>
  <c r="C62" i="11" l="1"/>
  <c r="D61" i="11"/>
  <c r="E62" i="11"/>
  <c r="F62" i="11"/>
  <c r="B63" i="11"/>
  <c r="G60" i="11"/>
  <c r="G61" i="11" s="1"/>
  <c r="G62" i="11" l="1"/>
  <c r="D62" i="11"/>
  <c r="E63" i="11"/>
  <c r="C63" i="11"/>
  <c r="F63" i="11"/>
  <c r="D21" i="11" s="1"/>
  <c r="G63" i="11" l="1"/>
  <c r="D63" i="11"/>
  <c r="D18" i="11" l="1"/>
  <c r="D20" i="11"/>
  <c r="D22" i="11" s="1"/>
  <c r="F8" i="2" l="1"/>
  <c r="F34" i="2" s="1"/>
  <c r="F38" i="2" s="1"/>
  <c r="G8" i="2" l="1"/>
  <c r="G34" i="2" s="1"/>
  <c r="G38" i="2" s="1"/>
  <c r="H8" i="2" l="1"/>
  <c r="H34" i="2" s="1"/>
  <c r="H38" i="2" s="1"/>
  <c r="I8" i="2" l="1"/>
  <c r="I34" i="2" s="1"/>
  <c r="I38" i="2" s="1"/>
  <c r="J8" i="2" l="1"/>
  <c r="J34" i="2" s="1"/>
  <c r="J38" i="2" s="1"/>
  <c r="K8" i="2" l="1"/>
  <c r="K34" i="2" s="1"/>
  <c r="K38" i="2" s="1"/>
  <c r="L8" i="2" l="1"/>
  <c r="L34" i="2" s="1"/>
  <c r="L38" i="2" s="1"/>
  <c r="M8" i="2" l="1"/>
  <c r="M34" i="2" s="1"/>
  <c r="M38" i="2" s="1"/>
  <c r="N8" i="2" l="1"/>
  <c r="N34" i="2" s="1"/>
  <c r="N38" i="2" s="1"/>
  <c r="O8" i="2" l="1"/>
  <c r="O34" i="2" s="1"/>
  <c r="O38" i="2" s="1"/>
  <c r="P8" i="2" l="1"/>
  <c r="P34" i="2" s="1"/>
  <c r="P3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Chelsea Koralewski</author>
  </authors>
  <commentList>
    <comment ref="Z24" authorId="0" shapeId="0" xr:uid="{00000000-0006-0000-0300-000001000000}">
      <text>
        <r>
          <rPr>
            <b/>
            <sz val="9"/>
            <color indexed="81"/>
            <rFont val="Tahoma"/>
            <family val="2"/>
          </rPr>
          <t>Chelsea Koralewski:</t>
        </r>
        <r>
          <rPr>
            <sz val="9"/>
            <color indexed="81"/>
            <rFont val="Tahoma"/>
            <family val="2"/>
          </rPr>
          <t xml:space="preserve">
from rent roll with churn assumption subtracted</t>
        </r>
      </text>
    </comment>
    <comment ref="AG24" authorId="0" shapeId="0" xr:uid="{00000000-0006-0000-0300-000002000000}">
      <text>
        <r>
          <rPr>
            <b/>
            <sz val="9"/>
            <color indexed="81"/>
            <rFont val="Tahoma"/>
            <family val="2"/>
          </rPr>
          <t>Chelsea Koralewski:</t>
        </r>
        <r>
          <rPr>
            <sz val="9"/>
            <color indexed="81"/>
            <rFont val="Tahoma"/>
            <family val="2"/>
          </rPr>
          <t xml:space="preserve">
3 units times 7 months</t>
        </r>
      </text>
    </comment>
  </commentList>
</comments>
</file>

<file path=xl/sharedStrings.xml><?xml version="1.0" encoding="utf-8"?>
<sst xmlns="http://schemas.openxmlformats.org/spreadsheetml/2006/main" count="309" uniqueCount="263">
  <si>
    <t>2018 Assumptions</t>
  </si>
  <si>
    <r>
      <t xml:space="preserve">Revenue based on Rent Roll as of 7.31.17, planned increases are already included </t>
    </r>
    <r>
      <rPr>
        <b/>
        <i/>
        <sz val="11"/>
        <color theme="1"/>
        <rFont val="Calibri"/>
        <family val="2"/>
        <scheme val="minor"/>
      </rPr>
      <t>(approximately 2%)</t>
    </r>
  </si>
  <si>
    <r>
      <t>Assumes</t>
    </r>
    <r>
      <rPr>
        <b/>
        <i/>
        <sz val="11"/>
        <color theme="1"/>
        <rFont val="Calibri"/>
        <family val="2"/>
        <scheme val="minor"/>
      </rPr>
      <t xml:space="preserve"> 3% increase in expense</t>
    </r>
    <r>
      <rPr>
        <sz val="11"/>
        <color theme="1"/>
        <rFont val="Calibri"/>
        <family val="2"/>
        <scheme val="minor"/>
      </rPr>
      <t>s, Unless otherwise noted.</t>
    </r>
  </si>
  <si>
    <r>
      <t xml:space="preserve">Debt Refinancing was built using the </t>
    </r>
    <r>
      <rPr>
        <b/>
        <i/>
        <sz val="11"/>
        <color theme="1"/>
        <rFont val="Calibri"/>
        <family val="2"/>
        <scheme val="minor"/>
      </rPr>
      <t>same terms as the last loan.</t>
    </r>
    <r>
      <rPr>
        <sz val="11"/>
        <color theme="1"/>
        <rFont val="Calibri"/>
        <family val="2"/>
        <scheme val="minor"/>
      </rPr>
      <t xml:space="preserve"> </t>
    </r>
  </si>
  <si>
    <t>3a</t>
  </si>
  <si>
    <r>
      <t>Amounts are all variable and</t>
    </r>
    <r>
      <rPr>
        <b/>
        <i/>
        <sz val="11"/>
        <color theme="1"/>
        <rFont val="Calibri"/>
        <family val="2"/>
        <scheme val="minor"/>
      </rPr>
      <t xml:space="preserve"> can be changed</t>
    </r>
    <r>
      <rPr>
        <sz val="11"/>
        <color theme="1"/>
        <rFont val="Calibri"/>
        <family val="2"/>
        <scheme val="minor"/>
      </rPr>
      <t xml:space="preserve"> to include or not include portions of the total outstanding debt.</t>
    </r>
  </si>
  <si>
    <r>
      <rPr>
        <b/>
        <i/>
        <sz val="11"/>
        <color rgb="FF3F3F76"/>
        <rFont val="Calibri"/>
        <family val="2"/>
        <scheme val="minor"/>
      </rPr>
      <t>Manual Input cells</t>
    </r>
    <r>
      <rPr>
        <sz val="11"/>
        <color rgb="FF3F3F76"/>
        <rFont val="Calibri"/>
        <family val="2"/>
        <scheme val="minor"/>
      </rPr>
      <t xml:space="preserve"> are highlighted like this.  Most other cells are calculations, but can be overwritten if needed.</t>
    </r>
  </si>
  <si>
    <r>
      <rPr>
        <b/>
        <i/>
        <sz val="11"/>
        <color theme="1"/>
        <rFont val="Calibri"/>
        <family val="2"/>
        <scheme val="minor"/>
      </rPr>
      <t>Resident churn</t>
    </r>
    <r>
      <rPr>
        <sz val="11"/>
        <color theme="1"/>
        <rFont val="Calibri"/>
        <family val="2"/>
        <scheme val="minor"/>
      </rPr>
      <t xml:space="preserve"> is multiple of historical rent.</t>
    </r>
  </si>
  <si>
    <r>
      <rPr>
        <b/>
        <i/>
        <sz val="11"/>
        <color theme="1"/>
        <rFont val="Calibri"/>
        <family val="2"/>
        <scheme val="minor"/>
      </rPr>
      <t>No new hires</t>
    </r>
    <r>
      <rPr>
        <sz val="11"/>
        <color theme="1"/>
        <rFont val="Calibri"/>
        <family val="2"/>
        <scheme val="minor"/>
      </rPr>
      <t xml:space="preserve"> are planned in 2018.</t>
    </r>
  </si>
  <si>
    <t xml:space="preserve">Rea 13-Week Cash Forecast
</t>
  </si>
  <si>
    <t>Company Name:</t>
  </si>
  <si>
    <t>[Enter Company Name]</t>
  </si>
  <si>
    <t>Instructions:</t>
  </si>
  <si>
    <t>Cell Descriptions:</t>
  </si>
  <si>
    <t>Cell requires input</t>
  </si>
  <si>
    <t>Indicates cell is a calculated field.</t>
  </si>
  <si>
    <t>red text is used to provide additional information</t>
  </si>
  <si>
    <t>update method</t>
  </si>
  <si>
    <t>13-Week Cash Flow Forecast</t>
  </si>
  <si>
    <t>week #</t>
  </si>
  <si>
    <t>auto</t>
  </si>
  <si>
    <t>Cash Projection</t>
  </si>
  <si>
    <t>Comments</t>
  </si>
  <si>
    <t>week 1, manual, rest auto</t>
  </si>
  <si>
    <t>Beginning Book Cash Balance</t>
  </si>
  <si>
    <t>Beginning balance from ledger.  Future periods will calculate automatically</t>
  </si>
  <si>
    <t>Inflows:</t>
  </si>
  <si>
    <t>manual</t>
  </si>
  <si>
    <t>A/R Receipts</t>
  </si>
  <si>
    <t>Cash sales and expected A/R receipts.  Sales made on credit should NOT be included here.</t>
  </si>
  <si>
    <t>Customer Deposits</t>
  </si>
  <si>
    <t>Cash collected from customers for work/product that has not yet been invoiced.</t>
  </si>
  <si>
    <t>Borrowings</t>
  </si>
  <si>
    <t>Expected borrowings from third parties.</t>
  </si>
  <si>
    <t>Other</t>
  </si>
  <si>
    <t>Other cash inflows not listed above.  Ex. Equity issuance, grants received, insurance proceeds, vendor refunds.</t>
  </si>
  <si>
    <t>Outflows:</t>
  </si>
  <si>
    <t>Operating Outflows</t>
  </si>
  <si>
    <t>category manual, $ auto</t>
  </si>
  <si>
    <t>A/P Payments</t>
  </si>
  <si>
    <t>These categories may be changed to suit.  Changing categories here will update the available categories in the detail tab.</t>
  </si>
  <si>
    <t>Payroll, incl. taxes and employee benefits</t>
  </si>
  <si>
    <t>Rent and other office expenses</t>
  </si>
  <si>
    <t>Utilities</t>
  </si>
  <si>
    <t>Professional fees</t>
  </si>
  <si>
    <t>[add to customize 1]</t>
  </si>
  <si>
    <t>[add to customize 2]</t>
  </si>
  <si>
    <t>[add to customize 3]</t>
  </si>
  <si>
    <t>Total Operating Outflows</t>
  </si>
  <si>
    <t>Investing and Financing Outflows</t>
  </si>
  <si>
    <t>Debt service</t>
  </si>
  <si>
    <t>CapEx</t>
  </si>
  <si>
    <t>[add to customize 4]</t>
  </si>
  <si>
    <t>[add to customize 5]</t>
  </si>
  <si>
    <t>Total Investing and Financing Outflows</t>
  </si>
  <si>
    <t>Total Outflows</t>
  </si>
  <si>
    <t>Ending Book Balance</t>
  </si>
  <si>
    <t>Less: Deposits in Transit</t>
  </si>
  <si>
    <t>Estimated funds that were recorded as deposits, but haven't appeared on the bank statement yet.  Ex. Credit card receipts that have been batched, but are pending bank deposit</t>
  </si>
  <si>
    <t>Plus: Outstanding Checks</t>
  </si>
  <si>
    <t>Checks that have been written but have not yet cleared.</t>
  </si>
  <si>
    <t>Ending Bank Balance</t>
  </si>
  <si>
    <t>GENESIS RETIREMENT, LLC</t>
  </si>
  <si>
    <t>Debt service coverage - Pro Forma</t>
  </si>
  <si>
    <t>1.2x Coverage</t>
  </si>
  <si>
    <t>1.0x Coverage</t>
  </si>
  <si>
    <t>Twelve Months Ending
12/31/18, Forecast</t>
  </si>
  <si>
    <t>Twelve Months Ending
12/31/18, Budget</t>
  </si>
  <si>
    <t>Twelve Months Ending
12/31/17, Forecast</t>
  </si>
  <si>
    <t>Numerator:</t>
  </si>
  <si>
    <t>Net Income</t>
  </si>
  <si>
    <t xml:space="preserve">Net Income </t>
  </si>
  <si>
    <t>+ Depreciation</t>
  </si>
  <si>
    <t>+ Amortization</t>
  </si>
  <si>
    <t>(A)</t>
  </si>
  <si>
    <t>+ Interest</t>
  </si>
  <si>
    <t>(B)</t>
  </si>
  <si>
    <t>+ Other Non-Cash Expenses</t>
  </si>
  <si>
    <t>(C)</t>
  </si>
  <si>
    <t>+ Extra Ordinary Losses</t>
  </si>
  <si>
    <t>+ Member Contributions (as debt)</t>
  </si>
  <si>
    <t>(D)</t>
  </si>
  <si>
    <t>- Extra Ordinary Gains or Income</t>
  </si>
  <si>
    <t xml:space="preserve">- Gain on Sale </t>
  </si>
  <si>
    <t>+ Loss on Sale</t>
  </si>
  <si>
    <t xml:space="preserve">- Unrealized Gains </t>
  </si>
  <si>
    <t>+ Unrealized Losses</t>
  </si>
  <si>
    <t>- Distributions</t>
  </si>
  <si>
    <t>-Distributions</t>
  </si>
  <si>
    <t>+ Contributions (as equity)</t>
  </si>
  <si>
    <t>Total</t>
  </si>
  <si>
    <t>Denominator:</t>
  </si>
  <si>
    <t>Net Income Calc</t>
  </si>
  <si>
    <t>Actual Principal Payments</t>
  </si>
  <si>
    <t>(E)</t>
  </si>
  <si>
    <t>1.37 : 1.00</t>
  </si>
  <si>
    <t>1.34 : 1.00</t>
  </si>
  <si>
    <t>This</t>
  </si>
  <si>
    <t>2/5 FC</t>
  </si>
  <si>
    <t>Difference</t>
  </si>
  <si>
    <t>Largest contributing factor</t>
  </si>
  <si>
    <t>+ Actual Interest Expense of the existing debt</t>
  </si>
  <si>
    <t>(F)</t>
  </si>
  <si>
    <t>Must be &gt;= 1.00 : 1.00</t>
  </si>
  <si>
    <t>Rents rec</t>
  </si>
  <si>
    <t>New assumption builds to total occupancy at 158, old is 155</t>
  </si>
  <si>
    <t>Promo</t>
  </si>
  <si>
    <t>May promos</t>
  </si>
  <si>
    <t>Other Rev</t>
  </si>
  <si>
    <t>-12000 Promedica, +2300 Car Ports in January</t>
  </si>
  <si>
    <t>Ratio:</t>
  </si>
  <si>
    <t>Must be &gt;= 1.20 : 1.00</t>
  </si>
  <si>
    <t>Op Exp</t>
  </si>
  <si>
    <t>Used 2/5 FC</t>
  </si>
  <si>
    <t>COBF</t>
  </si>
  <si>
    <t>Contribution Required</t>
  </si>
  <si>
    <t>Net Inc</t>
  </si>
  <si>
    <t>Combined with (B) and (C), equals Cost of Borrowed Funds on the Income Statement.</t>
  </si>
  <si>
    <t>Cost of borrowed funds (COBF) per the Income Statement</t>
  </si>
  <si>
    <t>Less: Amortization of deferred finance fees incl. in COBF</t>
  </si>
  <si>
    <t>Less: Co-borrower fee included in COBF</t>
  </si>
  <si>
    <t>Interest Expense</t>
  </si>
  <si>
    <t>Interest Expense recorded on the Income Statement for all debt instruments.</t>
  </si>
  <si>
    <t>Co-borrower fee.</t>
  </si>
  <si>
    <t>Member Contributions as follows:</t>
  </si>
  <si>
    <t>Hoenig Trust</t>
  </si>
  <si>
    <t>Board Note</t>
  </si>
  <si>
    <t>Actual principal payments (excluding principal payments made at refinancing) on debt as follows:</t>
  </si>
  <si>
    <t>First Federal</t>
  </si>
  <si>
    <t>Refinance</t>
  </si>
  <si>
    <t>Actual interest payments (excluding interest payments made at refinancing) on debt as follows:</t>
  </si>
  <si>
    <t>Weekly Outflows - Detailed</t>
  </si>
  <si>
    <t>*Add as many outflow lines as needed by inserting rows before row 27</t>
  </si>
  <si>
    <t>*Changing date here will update "Weekly" sheet</t>
  </si>
  <si>
    <t>Week starting:</t>
  </si>
  <si>
    <t>Estimated Cash Flow Outflows</t>
  </si>
  <si>
    <t>1</t>
  </si>
  <si>
    <t>2</t>
  </si>
  <si>
    <t>3</t>
  </si>
  <si>
    <t>4</t>
  </si>
  <si>
    <t>5</t>
  </si>
  <si>
    <t>6</t>
  </si>
  <si>
    <t>7</t>
  </si>
  <si>
    <t>8</t>
  </si>
  <si>
    <t>9</t>
  </si>
  <si>
    <t>10</t>
  </si>
  <si>
    <t>11</t>
  </si>
  <si>
    <t>12</t>
  </si>
  <si>
    <t>13</t>
  </si>
  <si>
    <t>Category</t>
  </si>
  <si>
    <t>Notes</t>
  </si>
  <si>
    <t>Vendor 1</t>
  </si>
  <si>
    <t>Vendor 2</t>
  </si>
  <si>
    <t>Vendor 3</t>
  </si>
  <si>
    <t>Vendor 4</t>
  </si>
  <si>
    <t>Vendor 5</t>
  </si>
  <si>
    <t>Vendor 6</t>
  </si>
  <si>
    <t>Vendor 7</t>
  </si>
  <si>
    <t>Vendor 8</t>
  </si>
  <si>
    <t>Vendor 9</t>
  </si>
  <si>
    <t>Vendor 10</t>
  </si>
  <si>
    <t>Vendor 11</t>
  </si>
  <si>
    <t>Vendor 12</t>
  </si>
  <si>
    <t>Vendor 13</t>
  </si>
  <si>
    <t>Vendor 14</t>
  </si>
  <si>
    <t>Vendor 15</t>
  </si>
  <si>
    <t>Vendor 16</t>
  </si>
  <si>
    <t>Vendor 17</t>
  </si>
  <si>
    <t>Vendor 18</t>
  </si>
  <si>
    <t>Vendor 19</t>
  </si>
  <si>
    <t>Vendor 20</t>
  </si>
  <si>
    <t>Total:</t>
  </si>
  <si>
    <t>Check</t>
  </si>
  <si>
    <t># of apts rented to be considered full</t>
  </si>
  <si>
    <t>Average Monthly Rent Calculations</t>
  </si>
  <si>
    <t xml:space="preserve">Monthly net move-in until full assumption </t>
  </si>
  <si>
    <t>Inventory</t>
  </si>
  <si>
    <t>Rented</t>
  </si>
  <si>
    <t>Available</t>
  </si>
  <si>
    <t>Std Rent</t>
  </si>
  <si>
    <t>Other Revenue assumption  (Net of sales tax)</t>
  </si>
  <si>
    <t>should include meal vouchers, promedica revenue, room rentals</t>
  </si>
  <si>
    <t>Studio</t>
  </si>
  <si>
    <t>1 BR</t>
  </si>
  <si>
    <t>2BR</t>
  </si>
  <si>
    <t>Kitchen- $/Apartment</t>
  </si>
  <si>
    <t>Est as 3% increase of June/July average ($220) food services/apartment (rounded to $10)</t>
  </si>
  <si>
    <t>Avg total</t>
  </si>
  <si>
    <t>Avg new</t>
  </si>
  <si>
    <t>Updated to reflect current inventory as of 2.28.18</t>
  </si>
  <si>
    <t>Average Monthly Rent (Historical)</t>
  </si>
  <si>
    <r>
      <rPr>
        <b/>
        <i/>
        <sz val="11"/>
        <color theme="1"/>
        <rFont val="Calibri"/>
        <family val="2"/>
        <scheme val="minor"/>
      </rPr>
      <t>Promotions Discount</t>
    </r>
    <r>
      <rPr>
        <sz val="11"/>
        <color theme="1"/>
        <rFont val="Calibri"/>
        <family val="2"/>
        <scheme val="minor"/>
      </rPr>
      <t xml:space="preserve"> - Average Monthly Rent (New move-ins, NOT historical)</t>
    </r>
  </si>
  <si>
    <t>Based on rent rates for available apartments as of 2/28/18</t>
  </si>
  <si>
    <t>Resident Churn cost assumption (per apt)</t>
  </si>
  <si>
    <t>Thought here is that people tend to move out toward the beginning of the month, and move in toward the end of the month, so one month's rent is lost per apartment churn.</t>
  </si>
  <si>
    <t>Standard Churn per month assumption (# of apts)</t>
  </si>
  <si>
    <t>Estimated per Bruce</t>
  </si>
  <si>
    <t>Notes to 3/21 fcst:</t>
  </si>
  <si>
    <t>*Removed 808 bus lease and added in 12650 payoff</t>
  </si>
  <si>
    <t>*Average monthly rent updated</t>
  </si>
  <si>
    <t>*Loan updated (P&amp;I pmts)</t>
  </si>
  <si>
    <t>*Categories changed to reflect better comparison to financial statements</t>
  </si>
  <si>
    <t>*Increased Bruce monthly comp by $500, removed bonus in August</t>
  </si>
  <si>
    <t>*South Wing CapEx shows 1:1 loan advances</t>
  </si>
  <si>
    <t>*PL includes 9 months of RE tax accrual, but only 6 months are on cash flow because only one payment will be made in the forecast period</t>
  </si>
  <si>
    <t>Proforma Estimate of Debt Refinance payment</t>
  </si>
  <si>
    <t>Inputs</t>
  </si>
  <si>
    <t>Loan Amortization Schedule</t>
  </si>
  <si>
    <t>Debt Summary</t>
  </si>
  <si>
    <t>Other considerations</t>
  </si>
  <si>
    <t>Balloon Payment as of March 2018</t>
  </si>
  <si>
    <t>Appriasal Amount (plugged for Illustrative purposes)</t>
  </si>
  <si>
    <t>6% Notes</t>
  </si>
  <si>
    <t>% of Appriasal willing to lend (estimated based on current term sheet)</t>
  </si>
  <si>
    <t>Assumptions</t>
  </si>
  <si>
    <t>6% Notes accrued interest through 12.31.2017</t>
  </si>
  <si>
    <t>* Interest compounds monthly</t>
  </si>
  <si>
    <t>Accrued Interest on 6% Note (through 3.2018)</t>
  </si>
  <si>
    <t>Estimate of Refi fees</t>
  </si>
  <si>
    <t>Actual fees from last refi</t>
  </si>
  <si>
    <t>Loan Amount</t>
  </si>
  <si>
    <t>* Payments made at end of month</t>
  </si>
  <si>
    <t>RAC Note</t>
  </si>
  <si>
    <t>Bank (estimated based on % of $ loaned)</t>
  </si>
  <si>
    <t>Bank</t>
  </si>
  <si>
    <t>Annual Interest Rate</t>
  </si>
  <si>
    <t>(est)</t>
  </si>
  <si>
    <t>* Balloon amount paid on last payment</t>
  </si>
  <si>
    <t>Accrued Interest on RAC Note (through 3.2018)</t>
  </si>
  <si>
    <t>Title Agency (estimated based on % of $ loaned)</t>
  </si>
  <si>
    <t>Title Agency</t>
  </si>
  <si>
    <t>Amortization Period</t>
  </si>
  <si>
    <t>months (estimated based on current terms sheet)</t>
  </si>
  <si>
    <t>Waterford-Board note + interest, est</t>
  </si>
  <si>
    <t>Attorney (estimated at 3% increase)</t>
  </si>
  <si>
    <t>Attorney</t>
  </si>
  <si>
    <t>Number of Payments</t>
  </si>
  <si>
    <t xml:space="preserve">months </t>
  </si>
  <si>
    <t>Less: Attorney fees scheduled into outflows sheet</t>
  </si>
  <si>
    <t>Begin Date</t>
  </si>
  <si>
    <t>Estimated Outflow for Refi</t>
  </si>
  <si>
    <t>Summary</t>
  </si>
  <si>
    <t>Desired Amount to Borrow</t>
  </si>
  <si>
    <t>[42]</t>
  </si>
  <si>
    <t>Monthly Payment</t>
  </si>
  <si>
    <t>Other debt NOT included above</t>
  </si>
  <si>
    <t>Balloon Payment</t>
  </si>
  <si>
    <t>Would be due with last payment</t>
  </si>
  <si>
    <t>Preferred Equity-Bd</t>
  </si>
  <si>
    <t>Accrued co-borrower fee to   5 Members</t>
  </si>
  <si>
    <t>removed from refi calculation per conversation with Larry</t>
  </si>
  <si>
    <t>Total Payments</t>
  </si>
  <si>
    <t>Total Principal Paid</t>
  </si>
  <si>
    <t>Total Interest Paid</t>
  </si>
  <si>
    <t>Amortization Schedule</t>
  </si>
  <si>
    <t>{42}</t>
  </si>
  <si>
    <t>Month</t>
  </si>
  <si>
    <t>Date</t>
  </si>
  <si>
    <t>Payment</t>
  </si>
  <si>
    <t>Interest</t>
  </si>
  <si>
    <t>Principal</t>
  </si>
  <si>
    <t>Balance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</si>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</sst>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_(&quot;$&quot;\ #,##0.00_);_(&quot;$&quot;\ \(#,##0.00\);_(&quot;$&quot;\ &quot;-&quot;??_);_(@_)"/>
    <numFmt numFmtId="167" formatCode="_(&quot;$&quot;\ #,##0_);_(&quot;$&quot;\ \(#,##0\);_(&quot;$&quot;\ &quot;-&quot;??_);_(@_)"/>
    <numFmt numFmtId="168" formatCode="&quot;$&quot;#,##0.00"/>
    <numFmt numFmtId="169" formatCode="0.0"/>
    <numFmt numFmtId="170" formatCode="_(&quot;$&quot;* #,##0_);_(&quot;$&quot;* \(#,##0\);_(&quot;$&quot;* &quot;-&quot;??_);_(@_)"/>
    <numFmt numFmtId="171" formatCode="[$-409]mmm\-yy;@"/>
    <numFmt numFmtId="172" formatCode="[$-409]d\-mmm;@"/>
    <numFmt numFmtId="173" formatCode="_(* #,##0.0_);_(* \(#,##0.0\);_(* &quot;-&quot;?_);_(@_)"/>
    <numFmt numFmtId="174" formatCode="m/d/yy;@"/>
    <numFmt numFmtId="175" formatCode="_(* #,##0_);_(* \(#,##0\);_(* &quot;-&quot;?_);_(@_)"/>
  </numFmts>
  <fonts count="68"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u/>
      <sz val="11"/>
      <color theme="1"/>
      <name val="Calibri"/>
      <family val="2"/>
      <scheme val="minor"/>
    </font>
    <font>
      <sz val="9"/>
      <color indexed="81"/>
      <name val="Tahoma"/>
      <family val="2"/>
    </font>
    <font>
      <b/>
      <sz val="9"/>
      <color indexed="81"/>
      <name val="Tahoma"/>
      <family val="2"/>
    </font>
    <font>
      <b/>
      <u/>
      <sz val="11"/>
      <color theme="1"/>
      <name val="Calibri"/>
      <family val="2"/>
      <scheme val="minor"/>
    </font>
    <font>
      <sz val="11"/>
      <color theme="0"/>
      <name val="Calibri"/>
      <family val="2"/>
      <scheme val="minor"/>
    </font>
    <font>
      <sz val="11"/>
      <color rgb="FF3F3F76"/>
      <name val="Calibri"/>
      <family val="2"/>
      <scheme val="minor"/>
    </font>
    <font>
      <b/>
      <sz val="11"/>
      <color rgb="FFFA7D00"/>
      <name val="Calibri"/>
      <family val="2"/>
      <scheme val="minor"/>
    </font>
    <font>
      <b/>
      <sz val="18"/>
      <color indexed="9"/>
      <name val="Arial"/>
      <family val="2"/>
    </font>
    <font>
      <u/>
      <sz val="10"/>
      <color indexed="12"/>
      <name val="Verdana"/>
      <family val="2"/>
    </font>
    <font>
      <u/>
      <sz val="8"/>
      <color indexed="12"/>
      <name val="Arial"/>
      <family val="2"/>
    </font>
    <font>
      <sz val="8"/>
      <name val="Arial"/>
      <family val="2"/>
    </font>
    <font>
      <b/>
      <sz val="12"/>
      <name val="Arial"/>
      <family val="2"/>
    </font>
    <font>
      <b/>
      <sz val="10"/>
      <color theme="4" tint="-0.249977111117893"/>
      <name val="Arial"/>
      <family val="2"/>
    </font>
    <font>
      <b/>
      <sz val="10"/>
      <name val="Arial"/>
      <family val="2"/>
    </font>
    <font>
      <sz val="11"/>
      <name val="Arial"/>
      <family val="2"/>
    </font>
    <font>
      <sz val="1"/>
      <color indexed="9"/>
      <name val="Arial"/>
      <family val="2"/>
    </font>
    <font>
      <b/>
      <sz val="11"/>
      <name val="Arial"/>
      <family val="2"/>
    </font>
    <font>
      <i/>
      <sz val="9"/>
      <color theme="1"/>
      <name val="Calibri"/>
      <family val="2"/>
      <scheme val="minor"/>
    </font>
    <font>
      <b/>
      <sz val="11"/>
      <name val="Calibri"/>
      <family val="2"/>
      <scheme val="minor"/>
    </font>
    <font>
      <b/>
      <i/>
      <sz val="11"/>
      <color theme="1"/>
      <name val="Calibri"/>
      <family val="2"/>
      <scheme val="minor"/>
    </font>
    <font>
      <b/>
      <i/>
      <sz val="11"/>
      <color rgb="FF3F3F76"/>
      <name val="Calibri"/>
      <family val="2"/>
      <scheme val="minor"/>
    </font>
    <font>
      <b/>
      <sz val="18"/>
      <color theme="1"/>
      <name val="Calibri"/>
      <family val="2"/>
      <scheme val="minor"/>
    </font>
    <font>
      <sz val="10"/>
      <name val="Arial"/>
      <family val="2"/>
    </font>
    <font>
      <sz val="10"/>
      <name val="Arial"/>
      <family val="2"/>
    </font>
    <font>
      <sz val="11"/>
      <color rgb="FF000000"/>
      <name val="Times New Roman"/>
      <family val="1"/>
    </font>
    <font>
      <i/>
      <sz val="10"/>
      <color rgb="FFFF0000"/>
      <name val="Calibri"/>
      <family val="2"/>
      <scheme val="minor"/>
    </font>
    <font>
      <b/>
      <i/>
      <sz val="9"/>
      <color theme="1"/>
      <name val="Calibri"/>
      <family val="2"/>
      <scheme val="minor"/>
    </font>
    <font>
      <b/>
      <i/>
      <sz val="10"/>
      <color rgb="FFFF0000"/>
      <name val="Calibri"/>
      <family val="2"/>
      <scheme val="minor"/>
    </font>
    <font>
      <i/>
      <sz val="9"/>
      <color rgb="FFFF0000"/>
      <name val="Calibri"/>
      <family val="2"/>
      <scheme val="minor"/>
    </font>
    <font>
      <sz val="9"/>
      <color theme="1"/>
      <name val="Calibri"/>
      <family val="2"/>
      <scheme val="minor"/>
    </font>
    <font>
      <i/>
      <sz val="9"/>
      <color rgb="FFFF0000"/>
      <name val="Arial"/>
      <family val="2"/>
    </font>
    <font>
      <sz val="9"/>
      <color rgb="FF323232"/>
      <name val="Arial"/>
      <family val="2"/>
    </font>
    <font>
      <sz val="12"/>
      <color rgb="FF323232"/>
      <name val="Arial"/>
      <family val="2"/>
    </font>
    <font>
      <i/>
      <sz val="10"/>
      <color rgb="FFFF0000"/>
      <name val="Arial"/>
      <family val="2"/>
    </font>
    <font>
      <sz val="12"/>
      <color theme="1"/>
      <name val="Arial"/>
      <family val="2"/>
    </font>
    <font>
      <b/>
      <i/>
      <sz val="10"/>
      <color rgb="FFFF0000"/>
      <name val="Arial"/>
      <family val="2"/>
    </font>
    <font>
      <b/>
      <u val="singleAccounting"/>
      <sz val="12"/>
      <color rgb="FF323232"/>
      <name val="Arial"/>
      <family val="2"/>
    </font>
    <font>
      <b/>
      <i/>
      <u val="singleAccounting"/>
      <sz val="10"/>
      <color rgb="FFFF0000"/>
      <name val="Arial"/>
      <family val="2"/>
    </font>
    <font>
      <b/>
      <sz val="12"/>
      <color rgb="FF323232"/>
      <name val="Arial"/>
      <family val="2"/>
    </font>
    <font>
      <u val="singleAccounting"/>
      <sz val="12"/>
      <color theme="1"/>
      <name val="Arial"/>
      <family val="2"/>
    </font>
    <font>
      <u val="doubleAccounting"/>
      <sz val="12"/>
      <color theme="1"/>
      <name val="Arial"/>
      <family val="2"/>
    </font>
    <font>
      <sz val="10"/>
      <name val="Arial"/>
      <family val="2"/>
    </font>
    <font>
      <sz val="10"/>
      <name val="Arial"/>
      <family val="2"/>
    </font>
    <font>
      <sz val="11"/>
      <color rgb="FF000000"/>
      <name val="Calibri"/>
    </font>
    <font>
      <sz val="10"/>
      <name val="Arial"/>
    </font>
    <font>
      <i/>
      <sz val="8"/>
      <color rgb="FFFF0000"/>
      <name val="Calibri"/>
      <family val="2"/>
      <scheme val="minor"/>
    </font>
    <font>
      <i/>
      <sz val="11"/>
      <color rgb="FF0070C0"/>
      <name val="Calibri"/>
      <family val="2"/>
      <scheme val="minor"/>
    </font>
    <font>
      <i/>
      <sz val="14"/>
      <color rgb="FF0070C0"/>
      <name val="Calibri"/>
      <family val="2"/>
      <scheme val="minor"/>
    </font>
    <font>
      <b/>
      <sz val="18"/>
      <color theme="0"/>
      <name val="Century Gothic"/>
      <family val="2"/>
    </font>
    <font>
      <b/>
      <sz val="11"/>
      <color theme="0"/>
      <name val="Calibri"/>
      <family val="2"/>
      <scheme val="minor"/>
    </font>
    <font>
      <b/>
      <sz val="12"/>
      <color theme="0"/>
      <name val="Calibri"/>
      <family val="2"/>
      <scheme val="minor"/>
    </font>
    <font>
      <sz val="11"/>
      <color rgb="FFFF0000"/>
      <name val="Calibri"/>
      <family val="2"/>
      <scheme val="minor"/>
    </font>
    <font>
      <sz val="8"/>
      <name val="Calibri"/>
      <family val="2"/>
      <scheme val="minor"/>
    </font>
    <font>
      <b/>
      <sz val="18"/>
      <color theme="0"/>
      <name val="Raleway"/>
      <family val="2"/>
    </font>
    <font>
      <b/>
      <sz val="12"/>
      <color theme="1"/>
      <name val="Calibri"/>
      <family val="2"/>
      <scheme val="minor"/>
    </font>
    <font>
      <i/>
      <sz val="9"/>
      <name val="Calibri"/>
      <family val="2"/>
      <scheme val="minor"/>
    </font>
    <font>
      <b/>
      <sz val="9"/>
      <name val="Calibri"/>
      <family val="2"/>
      <scheme val="minor"/>
    </font>
    <font>
      <b/>
      <sz val="18"/>
      <color theme="0"/>
      <name val="Calibri"/>
      <family val="2"/>
      <scheme val="minor"/>
    </font>
    <font>
      <sz val="11"/>
      <name val="Calibri"/>
      <family val="2"/>
      <scheme val="minor"/>
    </font>
    <font>
      <i/>
      <sz val="9"/>
      <color rgb="FFDF4B4B"/>
      <name val="Calibri"/>
      <family val="2"/>
      <scheme val="minor"/>
    </font>
    <font>
      <sz val="14"/>
      <color rgb="FFDF4B4B"/>
      <name val="Calibri"/>
      <family val="2"/>
      <scheme val="minor"/>
    </font>
    <font>
      <i/>
      <sz val="11"/>
      <color rgb="FF0C7396"/>
      <name val="Calibri"/>
      <family val="2"/>
      <scheme val="minor"/>
    </font>
    <font>
      <i/>
      <sz val="10"/>
      <color rgb="FFDF4B4B"/>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CC99"/>
      </patternFill>
    </fill>
    <fill>
      <patternFill patternType="solid">
        <fgColor theme="7" tint="0.59999389629810485"/>
        <bgColor indexed="64"/>
      </patternFill>
    </fill>
    <fill>
      <patternFill patternType="solid">
        <fgColor rgb="FFF2F2F2"/>
      </patternFill>
    </fill>
    <fill>
      <patternFill patternType="solid">
        <fgColor theme="4" tint="-0.49998474074526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999FF"/>
        <bgColor indexed="64"/>
      </patternFill>
    </fill>
    <fill>
      <patternFill patternType="solid">
        <fgColor theme="0" tint="-0.14999847407452621"/>
        <bgColor indexed="64"/>
      </patternFill>
    </fill>
    <fill>
      <patternFill patternType="solid">
        <fgColor rgb="FF7030A0"/>
        <bgColor indexed="64"/>
      </patternFill>
    </fill>
    <fill>
      <patternFill patternType="solid">
        <fgColor rgb="FF0C7396"/>
        <bgColor indexed="64"/>
      </patternFill>
    </fill>
    <fill>
      <patternFill patternType="solid">
        <fgColor rgb="FFF89E5C"/>
        <bgColor indexed="64"/>
      </patternFill>
    </fill>
  </fills>
  <borders count="30">
    <border>
      <left/>
      <right/>
      <top/>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thin">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medium">
        <color indexed="64"/>
      </left>
      <right style="thin">
        <color rgb="FF7F7F7F"/>
      </right>
      <top style="thin">
        <color rgb="FF7F7F7F"/>
      </top>
      <bottom style="medium">
        <color indexed="64"/>
      </bottom>
      <diagonal/>
    </border>
    <border>
      <left/>
      <right/>
      <top/>
      <bottom style="thin">
        <color indexed="64"/>
      </bottom>
      <diagonal/>
    </border>
    <border>
      <left/>
      <right/>
      <top/>
      <bottom style="double">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theme="4" tint="0.39997558519241921"/>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rgb="FF000000"/>
      </bottom>
      <diagonal/>
    </border>
    <border>
      <left/>
      <right/>
      <top style="thin">
        <color rgb="FF000000"/>
      </top>
      <bottom style="thin">
        <color rgb="FF000000"/>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4" borderId="8" applyNumberFormat="0" applyAlignment="0" applyProtection="0"/>
    <xf numFmtId="44" fontId="1" fillId="0" borderId="0" applyFont="0" applyFill="0" applyBorder="0" applyAlignment="0" applyProtection="0"/>
    <xf numFmtId="0" fontId="11" fillId="6" borderId="8" applyNumberFormat="0" applyAlignment="0" applyProtection="0"/>
    <xf numFmtId="0" fontId="13" fillId="0" borderId="0" applyNumberFormat="0" applyFill="0" applyBorder="0" applyAlignment="0" applyProtection="0">
      <alignment vertical="top"/>
      <protection locked="0"/>
    </xf>
    <xf numFmtId="0" fontId="27" fillId="0" borderId="0"/>
    <xf numFmtId="0" fontId="28" fillId="0" borderId="0"/>
    <xf numFmtId="0" fontId="46" fillId="0" borderId="0"/>
    <xf numFmtId="0" fontId="47" fillId="0" borderId="0"/>
    <xf numFmtId="0" fontId="48" fillId="0" borderId="0"/>
    <xf numFmtId="0" fontId="49" fillId="0" borderId="0"/>
  </cellStyleXfs>
  <cellXfs count="236">
    <xf numFmtId="0" fontId="0" fillId="0" borderId="0" xfId="0"/>
    <xf numFmtId="0" fontId="0" fillId="2" borderId="0" xfId="0" applyFill="1"/>
    <xf numFmtId="0" fontId="4" fillId="0" borderId="0" xfId="0" applyFont="1"/>
    <xf numFmtId="164" fontId="0" fillId="0" borderId="0" xfId="1" applyNumberFormat="1" applyFont="1"/>
    <xf numFmtId="164" fontId="0" fillId="0" borderId="0" xfId="1" applyNumberFormat="1" applyFont="1" applyFill="1"/>
    <xf numFmtId="164" fontId="0" fillId="0" borderId="0" xfId="0" applyNumberFormat="1"/>
    <xf numFmtId="0" fontId="3" fillId="0" borderId="0" xfId="0" applyFont="1"/>
    <xf numFmtId="0" fontId="10" fillId="4" borderId="8" xfId="3"/>
    <xf numFmtId="0" fontId="0" fillId="5" borderId="0" xfId="0" applyFill="1"/>
    <xf numFmtId="0" fontId="9" fillId="0" borderId="0" xfId="0" applyFont="1"/>
    <xf numFmtId="0" fontId="12" fillId="7" borderId="0" xfId="0" applyFont="1" applyFill="1" applyAlignment="1">
      <alignment vertical="center"/>
    </xf>
    <xf numFmtId="0" fontId="0" fillId="7" borderId="0" xfId="0" applyFill="1"/>
    <xf numFmtId="0" fontId="14" fillId="0" borderId="0" xfId="6" applyFont="1" applyAlignment="1" applyProtection="1">
      <alignment horizontal="left"/>
    </xf>
    <xf numFmtId="0" fontId="15" fillId="0" borderId="0" xfId="0" applyFont="1" applyAlignment="1">
      <alignment horizontal="right"/>
    </xf>
    <xf numFmtId="0" fontId="16" fillId="3" borderId="9" xfId="0" applyFont="1" applyFill="1" applyBorder="1" applyAlignment="1">
      <alignment horizontal="left" vertical="center" indent="1"/>
    </xf>
    <xf numFmtId="0" fontId="17" fillId="0" borderId="10" xfId="0" applyFont="1" applyBorder="1"/>
    <xf numFmtId="0" fontId="18" fillId="0" borderId="10" xfId="0" applyFont="1" applyBorder="1"/>
    <xf numFmtId="0" fontId="19" fillId="0" borderId="0" xfId="0" applyFont="1" applyAlignment="1">
      <alignment horizontal="right" indent="1"/>
    </xf>
    <xf numFmtId="0" fontId="0" fillId="0" borderId="0" xfId="0" applyAlignment="1">
      <alignment horizontal="right" indent="1"/>
    </xf>
    <xf numFmtId="0" fontId="20" fillId="0" borderId="0" xfId="0" applyFont="1"/>
    <xf numFmtId="0" fontId="16" fillId="3" borderId="9" xfId="0" applyFont="1" applyFill="1" applyBorder="1" applyAlignment="1">
      <alignment horizontal="center" wrapText="1"/>
    </xf>
    <xf numFmtId="44" fontId="19" fillId="8" borderId="0" xfId="0" applyNumberFormat="1" applyFont="1" applyFill="1"/>
    <xf numFmtId="8" fontId="0" fillId="0" borderId="0" xfId="0" applyNumberFormat="1"/>
    <xf numFmtId="44" fontId="0" fillId="0" borderId="0" xfId="0" applyNumberFormat="1"/>
    <xf numFmtId="166" fontId="15" fillId="0" borderId="0" xfId="0" applyNumberFormat="1" applyFont="1"/>
    <xf numFmtId="0" fontId="16" fillId="0" borderId="0" xfId="0" applyFont="1"/>
    <xf numFmtId="0" fontId="21" fillId="3" borderId="9" xfId="0" applyFont="1" applyFill="1" applyBorder="1" applyAlignment="1">
      <alignment horizontal="center" vertical="center" wrapText="1"/>
    </xf>
    <xf numFmtId="0" fontId="21" fillId="3" borderId="9" xfId="0" applyFont="1" applyFill="1" applyBorder="1" applyAlignment="1">
      <alignment horizontal="right" vertical="center"/>
    </xf>
    <xf numFmtId="0" fontId="21" fillId="3" borderId="9" xfId="0" applyFont="1" applyFill="1" applyBorder="1" applyAlignment="1">
      <alignment horizontal="right" vertical="center" wrapText="1"/>
    </xf>
    <xf numFmtId="0" fontId="15" fillId="8" borderId="0" xfId="0" applyFont="1" applyFill="1" applyAlignment="1">
      <alignment horizontal="center"/>
    </xf>
    <xf numFmtId="14" fontId="15" fillId="8" borderId="0" xfId="0" applyNumberFormat="1" applyFont="1" applyFill="1" applyAlignment="1">
      <alignment horizontal="center"/>
    </xf>
    <xf numFmtId="167" fontId="15" fillId="8" borderId="0" xfId="0" quotePrefix="1" applyNumberFormat="1" applyFont="1" applyFill="1" applyAlignment="1">
      <alignment horizontal="center"/>
    </xf>
    <xf numFmtId="167" fontId="0" fillId="8" borderId="0" xfId="0" quotePrefix="1" applyNumberFormat="1" applyFill="1" applyAlignment="1">
      <alignment horizontal="center"/>
    </xf>
    <xf numFmtId="0" fontId="15" fillId="0" borderId="0" xfId="0" applyFont="1" applyAlignment="1">
      <alignment horizontal="center"/>
    </xf>
    <xf numFmtId="14" fontId="15" fillId="0" borderId="0" xfId="0" applyNumberFormat="1" applyFont="1" applyAlignment="1">
      <alignment horizontal="center"/>
    </xf>
    <xf numFmtId="4" fontId="15" fillId="0" borderId="0" xfId="0" applyNumberFormat="1" applyFont="1" applyAlignment="1">
      <alignment horizontal="right"/>
    </xf>
    <xf numFmtId="4" fontId="0" fillId="0" borderId="0" xfId="0" applyNumberFormat="1"/>
    <xf numFmtId="43" fontId="0" fillId="0" borderId="0" xfId="0" applyNumberFormat="1"/>
    <xf numFmtId="43" fontId="10" fillId="4" borderId="8" xfId="3" applyNumberFormat="1"/>
    <xf numFmtId="9" fontId="10" fillId="4" borderId="8" xfId="3" applyNumberFormat="1"/>
    <xf numFmtId="168" fontId="15" fillId="8" borderId="0" xfId="0" applyNumberFormat="1" applyFont="1" applyFill="1"/>
    <xf numFmtId="166" fontId="19" fillId="8" borderId="0" xfId="4" applyNumberFormat="1" applyFont="1" applyFill="1" applyProtection="1"/>
    <xf numFmtId="0" fontId="5" fillId="0" borderId="0" xfId="0" applyFont="1"/>
    <xf numFmtId="10" fontId="10" fillId="4" borderId="8" xfId="3" applyNumberFormat="1" applyAlignment="1" applyProtection="1">
      <alignment horizontal="right" indent="1"/>
      <protection locked="0"/>
    </xf>
    <xf numFmtId="0" fontId="10" fillId="4" borderId="8" xfId="3" applyAlignment="1" applyProtection="1">
      <alignment horizontal="right" indent="1"/>
      <protection locked="0"/>
    </xf>
    <xf numFmtId="14" fontId="10" fillId="4" borderId="8" xfId="3" applyNumberFormat="1" applyAlignment="1" applyProtection="1">
      <alignment horizontal="right" indent="1"/>
      <protection locked="0"/>
    </xf>
    <xf numFmtId="0" fontId="22" fillId="0" borderId="0" xfId="0" applyFont="1"/>
    <xf numFmtId="43" fontId="11" fillId="6" borderId="8" xfId="5" applyNumberFormat="1"/>
    <xf numFmtId="10" fontId="0" fillId="0" borderId="0" xfId="2" applyNumberFormat="1" applyFont="1"/>
    <xf numFmtId="1" fontId="11" fillId="6" borderId="8" xfId="5" applyNumberFormat="1"/>
    <xf numFmtId="1" fontId="0" fillId="0" borderId="0" xfId="0" applyNumberFormat="1"/>
    <xf numFmtId="165" fontId="11" fillId="6" borderId="8" xfId="5" applyNumberFormat="1" applyAlignment="1" applyProtection="1">
      <alignment horizontal="right" indent="1"/>
      <protection locked="0"/>
    </xf>
    <xf numFmtId="0" fontId="26" fillId="0" borderId="0" xfId="0" applyFont="1"/>
    <xf numFmtId="0" fontId="0" fillId="0" borderId="0" xfId="0" applyAlignment="1">
      <alignment horizontal="center"/>
    </xf>
    <xf numFmtId="0" fontId="0" fillId="0" borderId="0" xfId="0" applyAlignment="1">
      <alignment wrapText="1"/>
    </xf>
    <xf numFmtId="9" fontId="10" fillId="4" borderId="8" xfId="2" applyFont="1" applyFill="1" applyBorder="1" applyAlignment="1">
      <alignment wrapText="1"/>
    </xf>
    <xf numFmtId="0" fontId="9" fillId="0" borderId="0" xfId="0" applyFont="1" applyAlignment="1">
      <alignment wrapText="1"/>
    </xf>
    <xf numFmtId="44" fontId="0" fillId="0" borderId="0" xfId="4" applyFont="1"/>
    <xf numFmtId="170" fontId="0" fillId="0" borderId="0" xfId="4" applyNumberFormat="1" applyFont="1"/>
    <xf numFmtId="0" fontId="0" fillId="0" borderId="3" xfId="0" applyBorder="1" applyAlignment="1">
      <alignment wrapText="1"/>
    </xf>
    <xf numFmtId="0" fontId="0" fillId="0" borderId="5" xfId="0" applyBorder="1" applyAlignment="1">
      <alignment wrapText="1"/>
    </xf>
    <xf numFmtId="0" fontId="0" fillId="0" borderId="7" xfId="0" applyBorder="1" applyAlignment="1">
      <alignment wrapText="1"/>
    </xf>
    <xf numFmtId="43" fontId="0" fillId="0" borderId="11" xfId="0" applyNumberFormat="1" applyBorder="1"/>
    <xf numFmtId="0" fontId="0" fillId="0" borderId="12" xfId="0" applyBorder="1" applyAlignment="1">
      <alignment wrapText="1"/>
    </xf>
    <xf numFmtId="0" fontId="0" fillId="0" borderId="2" xfId="0" applyBorder="1"/>
    <xf numFmtId="0" fontId="0" fillId="0" borderId="6" xfId="0" applyBorder="1"/>
    <xf numFmtId="170" fontId="4" fillId="9" borderId="6" xfId="4" applyNumberFormat="1" applyFont="1" applyFill="1" applyBorder="1"/>
    <xf numFmtId="0" fontId="4" fillId="9" borderId="7" xfId="0" applyFont="1" applyFill="1" applyBorder="1" applyAlignment="1">
      <alignment wrapText="1"/>
    </xf>
    <xf numFmtId="170" fontId="4" fillId="9" borderId="4" xfId="4" applyNumberFormat="1" applyFont="1" applyFill="1" applyBorder="1"/>
    <xf numFmtId="0" fontId="4" fillId="9" borderId="5" xfId="0" applyFont="1" applyFill="1" applyBorder="1" applyAlignment="1">
      <alignment wrapText="1"/>
    </xf>
    <xf numFmtId="43" fontId="0" fillId="0" borderId="2" xfId="0" applyNumberFormat="1" applyBorder="1"/>
    <xf numFmtId="43" fontId="0" fillId="0" borderId="6" xfId="0" applyNumberFormat="1" applyBorder="1"/>
    <xf numFmtId="43" fontId="0" fillId="0" borderId="4" xfId="0" applyNumberFormat="1" applyBorder="1"/>
    <xf numFmtId="43" fontId="23" fillId="9" borderId="14" xfId="5" applyNumberFormat="1" applyFont="1" applyFill="1" applyBorder="1"/>
    <xf numFmtId="0" fontId="0" fillId="0" borderId="0" xfId="0" applyAlignment="1">
      <alignment horizontal="center" vertical="center" wrapText="1"/>
    </xf>
    <xf numFmtId="164" fontId="3" fillId="0" borderId="0" xfId="0" applyNumberFormat="1" applyFont="1"/>
    <xf numFmtId="0" fontId="8" fillId="0" borderId="0" xfId="0" applyFont="1"/>
    <xf numFmtId="16" fontId="0" fillId="0" borderId="0" xfId="0" quotePrefix="1" applyNumberFormat="1"/>
    <xf numFmtId="1" fontId="0" fillId="11" borderId="0" xfId="0" applyNumberFormat="1" applyFill="1"/>
    <xf numFmtId="0" fontId="0" fillId="2" borderId="0" xfId="0" applyFill="1" applyAlignment="1">
      <alignment horizontal="left"/>
    </xf>
    <xf numFmtId="0" fontId="29" fillId="0" borderId="0" xfId="0" applyFont="1" applyAlignment="1">
      <alignment horizontal="center"/>
    </xf>
    <xf numFmtId="0" fontId="30" fillId="0" borderId="0" xfId="0" applyFont="1"/>
    <xf numFmtId="0" fontId="31" fillId="0" borderId="0" xfId="0" quotePrefix="1" applyFont="1" applyAlignment="1">
      <alignment horizontal="center"/>
    </xf>
    <xf numFmtId="0" fontId="32" fillId="0" borderId="0" xfId="0" applyFont="1"/>
    <xf numFmtId="42" fontId="4" fillId="0" borderId="0" xfId="0" applyNumberFormat="1" applyFont="1"/>
    <xf numFmtId="0" fontId="30" fillId="0" borderId="0" xfId="0" applyFont="1" applyAlignment="1">
      <alignment horizontal="center" wrapText="1"/>
    </xf>
    <xf numFmtId="0" fontId="0" fillId="0" borderId="15" xfId="0" applyBorder="1" applyAlignment="1">
      <alignment horizontal="center" wrapText="1"/>
    </xf>
    <xf numFmtId="169" fontId="0" fillId="0" borderId="0" xfId="0" applyNumberFormat="1"/>
    <xf numFmtId="42" fontId="30" fillId="0" borderId="0" xfId="0" applyNumberFormat="1" applyFont="1"/>
    <xf numFmtId="42" fontId="0" fillId="0" borderId="0" xfId="0" applyNumberFormat="1"/>
    <xf numFmtId="0" fontId="0" fillId="0" borderId="0" xfId="0" quotePrefix="1"/>
    <xf numFmtId="41" fontId="30" fillId="0" borderId="0" xfId="0" applyNumberFormat="1" applyFont="1"/>
    <xf numFmtId="0" fontId="30" fillId="0" borderId="0" xfId="0" quotePrefix="1" applyFont="1" applyAlignment="1">
      <alignment horizontal="right"/>
    </xf>
    <xf numFmtId="0" fontId="30" fillId="0" borderId="0" xfId="0" quotePrefix="1" applyFont="1"/>
    <xf numFmtId="0" fontId="30" fillId="0" borderId="0" xfId="0" applyFont="1" applyAlignment="1">
      <alignment horizontal="right"/>
    </xf>
    <xf numFmtId="0" fontId="0" fillId="12" borderId="0" xfId="0" applyFill="1"/>
    <xf numFmtId="42" fontId="0" fillId="0" borderId="1" xfId="0" applyNumberFormat="1" applyBorder="1"/>
    <xf numFmtId="41" fontId="0" fillId="0" borderId="0" xfId="0" applyNumberFormat="1"/>
    <xf numFmtId="0" fontId="0" fillId="0" borderId="0" xfId="0" quotePrefix="1" applyAlignment="1">
      <alignment horizontal="left" indent="2"/>
    </xf>
    <xf numFmtId="0" fontId="0" fillId="0" borderId="13" xfId="0" applyBorder="1" applyAlignment="1">
      <alignment horizontal="center"/>
    </xf>
    <xf numFmtId="0" fontId="22" fillId="0" borderId="0" xfId="0" quotePrefix="1" applyFont="1" applyAlignment="1">
      <alignment horizontal="center"/>
    </xf>
    <xf numFmtId="42" fontId="0" fillId="0" borderId="16" xfId="0" applyNumberFormat="1" applyBorder="1"/>
    <xf numFmtId="0" fontId="8" fillId="0" borderId="0" xfId="0" quotePrefix="1" applyFont="1"/>
    <xf numFmtId="0" fontId="4" fillId="0" borderId="0" xfId="0" quotePrefix="1" applyFont="1"/>
    <xf numFmtId="0" fontId="33" fillId="0" borderId="0" xfId="0" quotePrefix="1" applyFont="1"/>
    <xf numFmtId="0" fontId="34" fillId="0" borderId="0" xfId="0" quotePrefix="1" applyFont="1"/>
    <xf numFmtId="0" fontId="33" fillId="0" borderId="0" xfId="0" applyFont="1"/>
    <xf numFmtId="0" fontId="34" fillId="0" borderId="0" xfId="0" applyFont="1"/>
    <xf numFmtId="0" fontId="34" fillId="0" borderId="0" xfId="0" applyFont="1" applyAlignment="1">
      <alignment horizontal="left" indent="3"/>
    </xf>
    <xf numFmtId="41" fontId="34" fillId="0" borderId="0" xfId="0" applyNumberFormat="1" applyFont="1"/>
    <xf numFmtId="42" fontId="34" fillId="0" borderId="0" xfId="0" applyNumberFormat="1" applyFont="1"/>
    <xf numFmtId="42" fontId="34" fillId="0" borderId="13" xfId="0" applyNumberFormat="1" applyFont="1" applyBorder="1"/>
    <xf numFmtId="41" fontId="35" fillId="0" borderId="0" xfId="0" applyNumberFormat="1" applyFont="1"/>
    <xf numFmtId="41" fontId="36" fillId="0" borderId="0" xfId="0" applyNumberFormat="1" applyFont="1" applyAlignment="1">
      <alignment horizontal="left" indent="3"/>
    </xf>
    <xf numFmtId="42" fontId="34" fillId="12" borderId="0" xfId="0" applyNumberFormat="1" applyFont="1" applyFill="1"/>
    <xf numFmtId="41" fontId="36" fillId="0" borderId="0" xfId="0" applyNumberFormat="1" applyFont="1"/>
    <xf numFmtId="41" fontId="37" fillId="0" borderId="0" xfId="0" applyNumberFormat="1" applyFont="1" applyAlignment="1">
      <alignment horizontal="left" indent="3"/>
    </xf>
    <xf numFmtId="41" fontId="38" fillId="0" borderId="0" xfId="0" applyNumberFormat="1" applyFont="1" applyAlignment="1">
      <alignment horizontal="left" indent="3"/>
    </xf>
    <xf numFmtId="41" fontId="39" fillId="0" borderId="0" xfId="0" applyNumberFormat="1" applyFont="1"/>
    <xf numFmtId="41" fontId="40" fillId="0" borderId="0" xfId="0" applyNumberFormat="1" applyFont="1" applyAlignment="1">
      <alignment horizontal="left"/>
    </xf>
    <xf numFmtId="41" fontId="38" fillId="0" borderId="0" xfId="0" applyNumberFormat="1" applyFont="1" applyAlignment="1">
      <alignment horizontal="left"/>
    </xf>
    <xf numFmtId="41" fontId="40" fillId="0" borderId="0" xfId="0" applyNumberFormat="1" applyFont="1"/>
    <xf numFmtId="41" fontId="40" fillId="0" borderId="0" xfId="0" applyNumberFormat="1" applyFont="1" applyAlignment="1">
      <alignment wrapText="1"/>
    </xf>
    <xf numFmtId="41" fontId="41" fillId="0" borderId="0" xfId="0" applyNumberFormat="1" applyFont="1" applyAlignment="1">
      <alignment horizontal="left"/>
    </xf>
    <xf numFmtId="41" fontId="42" fillId="0" borderId="0" xfId="0" applyNumberFormat="1" applyFont="1" applyAlignment="1">
      <alignment horizontal="left"/>
    </xf>
    <xf numFmtId="41" fontId="43" fillId="0" borderId="0" xfId="0" applyNumberFormat="1" applyFont="1" applyAlignment="1">
      <alignment horizontal="center"/>
    </xf>
    <xf numFmtId="41" fontId="37" fillId="0" borderId="0" xfId="0" applyNumberFormat="1" applyFont="1"/>
    <xf numFmtId="41" fontId="38" fillId="0" borderId="0" xfId="0" applyNumberFormat="1" applyFont="1"/>
    <xf numFmtId="41" fontId="44" fillId="0" borderId="0" xfId="0" applyNumberFormat="1" applyFont="1"/>
    <xf numFmtId="42" fontId="45" fillId="0" borderId="0" xfId="0" applyNumberFormat="1" applyFont="1"/>
    <xf numFmtId="164" fontId="9" fillId="0" borderId="0" xfId="1" applyNumberFormat="1" applyFont="1" applyFill="1"/>
    <xf numFmtId="164" fontId="9" fillId="0" borderId="0" xfId="0" applyNumberFormat="1" applyFont="1"/>
    <xf numFmtId="42" fontId="9" fillId="0" borderId="0" xfId="0" applyNumberFormat="1" applyFont="1"/>
    <xf numFmtId="0" fontId="50" fillId="2" borderId="0" xfId="0" applyFont="1" applyFill="1"/>
    <xf numFmtId="0" fontId="52" fillId="0" borderId="0" xfId="0" applyFont="1"/>
    <xf numFmtId="0" fontId="3" fillId="0" borderId="0" xfId="0" applyFont="1" applyAlignment="1">
      <alignment horizontal="center" vertical="center"/>
    </xf>
    <xf numFmtId="0" fontId="0" fillId="2" borderId="0" xfId="0" applyFill="1" applyAlignment="1">
      <alignment horizontal="left" indent="1"/>
    </xf>
    <xf numFmtId="0" fontId="53" fillId="2" borderId="0" xfId="0" applyFont="1" applyFill="1" applyAlignment="1">
      <alignment horizontal="left" vertical="center" wrapText="1" indent="2"/>
    </xf>
    <xf numFmtId="0" fontId="55" fillId="2" borderId="0" xfId="0" applyFont="1" applyFill="1" applyAlignment="1">
      <alignment vertical="center"/>
    </xf>
    <xf numFmtId="0" fontId="9" fillId="2" borderId="0" xfId="0" applyFont="1" applyFill="1" applyAlignment="1">
      <alignment vertical="center"/>
    </xf>
    <xf numFmtId="3" fontId="9" fillId="2" borderId="0" xfId="0" applyNumberFormat="1" applyFont="1" applyFill="1" applyAlignment="1">
      <alignment vertical="center"/>
    </xf>
    <xf numFmtId="3" fontId="54" fillId="2" borderId="0" xfId="0" applyNumberFormat="1" applyFont="1" applyFill="1" applyAlignment="1">
      <alignment horizontal="center" vertical="center"/>
    </xf>
    <xf numFmtId="171" fontId="55" fillId="2" borderId="0" xfId="0" applyNumberFormat="1" applyFont="1" applyFill="1" applyAlignment="1">
      <alignment horizontal="center" vertical="center"/>
    </xf>
    <xf numFmtId="173" fontId="0" fillId="2" borderId="0" xfId="1" applyNumberFormat="1" applyFont="1" applyFill="1"/>
    <xf numFmtId="0" fontId="33" fillId="2" borderId="0" xfId="0" applyFont="1" applyFill="1"/>
    <xf numFmtId="0" fontId="2" fillId="2" borderId="0" xfId="0" applyFont="1" applyFill="1"/>
    <xf numFmtId="49" fontId="3" fillId="2" borderId="0" xfId="0" applyNumberFormat="1" applyFont="1" applyFill="1" applyProtection="1">
      <protection locked="0"/>
    </xf>
    <xf numFmtId="164" fontId="0" fillId="2" borderId="0" xfId="1" applyNumberFormat="1" applyFont="1" applyFill="1" applyBorder="1"/>
    <xf numFmtId="0" fontId="3" fillId="2" borderId="0" xfId="0" applyFont="1" applyFill="1"/>
    <xf numFmtId="164" fontId="51" fillId="2" borderId="0" xfId="1" applyNumberFormat="1" applyFont="1" applyFill="1" applyBorder="1"/>
    <xf numFmtId="43" fontId="52" fillId="2" borderId="0" xfId="0" applyNumberFormat="1" applyFont="1" applyFill="1"/>
    <xf numFmtId="42" fontId="0" fillId="0" borderId="23" xfId="1" applyNumberFormat="1" applyFont="1" applyFill="1" applyBorder="1" applyProtection="1"/>
    <xf numFmtId="164" fontId="2" fillId="2" borderId="0" xfId="1" applyNumberFormat="1" applyFont="1" applyFill="1" applyBorder="1"/>
    <xf numFmtId="0" fontId="0" fillId="2" borderId="20" xfId="0" applyFill="1" applyBorder="1"/>
    <xf numFmtId="0" fontId="4" fillId="2" borderId="15" xfId="0" applyFont="1" applyFill="1" applyBorder="1"/>
    <xf numFmtId="170" fontId="0" fillId="2" borderId="20" xfId="0" applyNumberFormat="1" applyFill="1" applyBorder="1"/>
    <xf numFmtId="41" fontId="0" fillId="2" borderId="20" xfId="0" applyNumberFormat="1" applyFill="1" applyBorder="1"/>
    <xf numFmtId="0" fontId="58" fillId="2" borderId="0" xfId="0" applyFont="1" applyFill="1" applyAlignment="1">
      <alignment horizontal="left" vertical="center" indent="2"/>
    </xf>
    <xf numFmtId="0" fontId="0" fillId="2" borderId="0" xfId="0" applyFill="1" applyAlignment="1">
      <alignment horizontal="left" vertical="center" indent="2"/>
    </xf>
    <xf numFmtId="0" fontId="0" fillId="2" borderId="26" xfId="0" applyFill="1" applyBorder="1" applyAlignment="1">
      <alignment horizontal="left" vertical="center" indent="2"/>
    </xf>
    <xf numFmtId="0" fontId="4" fillId="2" borderId="0" xfId="0" applyFont="1" applyFill="1"/>
    <xf numFmtId="0" fontId="59" fillId="2" borderId="0" xfId="0" applyFont="1" applyFill="1" applyProtection="1">
      <protection locked="0"/>
    </xf>
    <xf numFmtId="0" fontId="4" fillId="2" borderId="0" xfId="0" applyFont="1" applyFill="1" applyAlignment="1">
      <alignment vertical="top" wrapText="1"/>
    </xf>
    <xf numFmtId="0" fontId="0" fillId="2" borderId="26" xfId="0" applyFill="1" applyBorder="1"/>
    <xf numFmtId="0" fontId="0" fillId="2" borderId="0" xfId="0" applyFill="1" applyAlignment="1">
      <alignment wrapText="1"/>
    </xf>
    <xf numFmtId="0" fontId="4" fillId="2" borderId="0" xfId="0" applyFont="1" applyFill="1" applyAlignment="1">
      <alignment horizontal="center" wrapText="1"/>
    </xf>
    <xf numFmtId="0" fontId="8" fillId="2" borderId="0" xfId="0" applyFont="1" applyFill="1"/>
    <xf numFmtId="0" fontId="0" fillId="2" borderId="0" xfId="0" applyFill="1" applyAlignment="1">
      <alignment horizontal="left" vertical="center"/>
    </xf>
    <xf numFmtId="0" fontId="0" fillId="2" borderId="15" xfId="0" applyFill="1" applyBorder="1"/>
    <xf numFmtId="0" fontId="0" fillId="2" borderId="27" xfId="0" applyFill="1" applyBorder="1" applyAlignment="1">
      <alignment horizontal="left" vertical="center" indent="2"/>
    </xf>
    <xf numFmtId="0" fontId="9" fillId="2" borderId="0" xfId="0" applyFont="1" applyFill="1"/>
    <xf numFmtId="170" fontId="0" fillId="2" borderId="0" xfId="4" applyNumberFormat="1" applyFont="1" applyFill="1"/>
    <xf numFmtId="14" fontId="0" fillId="2" borderId="0" xfId="0" applyNumberFormat="1" applyFill="1"/>
    <xf numFmtId="0" fontId="9" fillId="13" borderId="0" xfId="0" applyFont="1" applyFill="1"/>
    <xf numFmtId="0" fontId="56" fillId="2" borderId="0" xfId="0" applyFont="1" applyFill="1"/>
    <xf numFmtId="0" fontId="60" fillId="2" borderId="0" xfId="0" applyFont="1" applyFill="1" applyAlignment="1">
      <alignment horizontal="right"/>
    </xf>
    <xf numFmtId="0" fontId="4" fillId="12" borderId="0" xfId="0" applyFont="1" applyFill="1"/>
    <xf numFmtId="14" fontId="61" fillId="2" borderId="0" xfId="0" applyNumberFormat="1" applyFont="1" applyFill="1" applyAlignment="1">
      <alignment horizontal="center"/>
    </xf>
    <xf numFmtId="0" fontId="59" fillId="15" borderId="0" xfId="0" applyFont="1" applyFill="1" applyProtection="1">
      <protection locked="0"/>
    </xf>
    <xf numFmtId="173" fontId="0" fillId="15" borderId="20" xfId="1" applyNumberFormat="1" applyFont="1" applyFill="1" applyBorder="1" applyProtection="1">
      <protection locked="0"/>
    </xf>
    <xf numFmtId="0" fontId="63" fillId="14" borderId="0" xfId="0" applyFont="1" applyFill="1"/>
    <xf numFmtId="0" fontId="54" fillId="14" borderId="0" xfId="0" applyFont="1" applyFill="1" applyAlignment="1">
      <alignment horizontal="center" vertical="center"/>
    </xf>
    <xf numFmtId="164" fontId="0" fillId="15" borderId="20" xfId="1" applyNumberFormat="1" applyFont="1" applyFill="1" applyBorder="1" applyProtection="1">
      <protection locked="0"/>
    </xf>
    <xf numFmtId="14" fontId="61" fillId="15" borderId="8" xfId="3" applyNumberFormat="1" applyFont="1" applyFill="1" applyAlignment="1">
      <alignment horizontal="center"/>
    </xf>
    <xf numFmtId="174" fontId="54" fillId="14" borderId="22" xfId="0" applyNumberFormat="1" applyFont="1" applyFill="1" applyBorder="1" applyAlignment="1">
      <alignment horizontal="center" vertical="center"/>
    </xf>
    <xf numFmtId="0" fontId="64" fillId="2" borderId="0" xfId="0" applyFont="1" applyFill="1"/>
    <xf numFmtId="0" fontId="65" fillId="2" borderId="0" xfId="0" applyFont="1" applyFill="1"/>
    <xf numFmtId="0" fontId="66" fillId="2" borderId="0" xfId="0" applyFont="1" applyFill="1" applyAlignment="1">
      <alignment horizontal="left" indent="2"/>
    </xf>
    <xf numFmtId="0" fontId="67" fillId="2" borderId="0" xfId="0" applyFont="1" applyFill="1"/>
    <xf numFmtId="0" fontId="55" fillId="14" borderId="0" xfId="0" applyFont="1" applyFill="1" applyAlignment="1">
      <alignment horizontal="right" vertical="center"/>
    </xf>
    <xf numFmtId="0" fontId="55" fillId="14" borderId="0" xfId="0" applyFont="1" applyFill="1" applyAlignment="1">
      <alignment horizontal="center" vertical="center"/>
    </xf>
    <xf numFmtId="0" fontId="55" fillId="14" borderId="0" xfId="0" applyFont="1" applyFill="1" applyAlignment="1">
      <alignment vertical="center"/>
    </xf>
    <xf numFmtId="172" fontId="54" fillId="14" borderId="0" xfId="0" applyNumberFormat="1" applyFont="1" applyFill="1" applyAlignment="1">
      <alignment horizontal="center" vertical="center"/>
    </xf>
    <xf numFmtId="171" fontId="55" fillId="14" borderId="0" xfId="0" applyNumberFormat="1" applyFont="1" applyFill="1" applyAlignment="1">
      <alignment horizontal="center" vertical="center"/>
    </xf>
    <xf numFmtId="0" fontId="9" fillId="14" borderId="0" xfId="0" applyFont="1" applyFill="1" applyAlignment="1">
      <alignment vertical="center"/>
    </xf>
    <xf numFmtId="164" fontId="4" fillId="15" borderId="20" xfId="1" applyNumberFormat="1" applyFont="1" applyFill="1" applyBorder="1" applyAlignment="1" applyProtection="1">
      <alignment horizontal="left"/>
      <protection locked="0"/>
    </xf>
    <xf numFmtId="0" fontId="50" fillId="14" borderId="0" xfId="0" applyFont="1" applyFill="1" applyAlignment="1">
      <alignment horizontal="left" wrapText="1"/>
    </xf>
    <xf numFmtId="0" fontId="0" fillId="14" borderId="17" xfId="0" applyFill="1" applyBorder="1"/>
    <xf numFmtId="0" fontId="0" fillId="14" borderId="18" xfId="0" applyFill="1" applyBorder="1"/>
    <xf numFmtId="0" fontId="50" fillId="14" borderId="0" xfId="0" applyFont="1" applyFill="1"/>
    <xf numFmtId="0" fontId="50" fillId="14" borderId="0" xfId="0" applyFont="1" applyFill="1" applyAlignment="1">
      <alignment wrapText="1"/>
    </xf>
    <xf numFmtId="0" fontId="0" fillId="14" borderId="19" xfId="0" applyFill="1" applyBorder="1"/>
    <xf numFmtId="0" fontId="0" fillId="2" borderId="28" xfId="0" applyFill="1" applyBorder="1"/>
    <xf numFmtId="0" fontId="0" fillId="2" borderId="29" xfId="0" applyFill="1" applyBorder="1"/>
    <xf numFmtId="0" fontId="0" fillId="15" borderId="20" xfId="0" applyFill="1" applyBorder="1" applyAlignment="1">
      <alignment horizontal="left" indent="2"/>
    </xf>
    <xf numFmtId="0" fontId="4" fillId="2" borderId="0" xfId="0" applyFont="1" applyFill="1" applyAlignment="1">
      <alignment horizontal="left" indent="2"/>
    </xf>
    <xf numFmtId="0" fontId="4" fillId="2" borderId="0" xfId="0" applyFont="1" applyFill="1" applyAlignment="1">
      <alignment horizontal="left" indent="1"/>
    </xf>
    <xf numFmtId="175" fontId="0" fillId="15" borderId="20" xfId="1" applyNumberFormat="1" applyFont="1" applyFill="1" applyBorder="1" applyProtection="1">
      <protection locked="0"/>
    </xf>
    <xf numFmtId="175" fontId="0" fillId="0" borderId="20" xfId="1" applyNumberFormat="1" applyFont="1" applyFill="1" applyBorder="1" applyProtection="1">
      <protection locked="0"/>
    </xf>
    <xf numFmtId="175" fontId="0" fillId="0" borderId="20" xfId="4" applyNumberFormat="1" applyFont="1" applyFill="1" applyBorder="1"/>
    <xf numFmtId="175" fontId="0" fillId="0" borderId="21" xfId="4" applyNumberFormat="1" applyFont="1" applyFill="1" applyBorder="1"/>
    <xf numFmtId="175" fontId="1" fillId="0" borderId="0" xfId="1" applyNumberFormat="1" applyFont="1" applyFill="1"/>
    <xf numFmtId="175" fontId="0" fillId="2" borderId="20" xfId="4" applyNumberFormat="1" applyFont="1" applyFill="1" applyBorder="1"/>
    <xf numFmtId="175" fontId="0" fillId="2" borderId="21" xfId="4" applyNumberFormat="1" applyFont="1" applyFill="1" applyBorder="1"/>
    <xf numFmtId="175" fontId="0" fillId="12" borderId="20" xfId="1" applyNumberFormat="1" applyFont="1" applyFill="1" applyBorder="1"/>
    <xf numFmtId="175" fontId="0" fillId="2" borderId="0" xfId="1" applyNumberFormat="1" applyFont="1" applyFill="1" applyBorder="1"/>
    <xf numFmtId="175" fontId="4" fillId="12" borderId="20" xfId="1" applyNumberFormat="1" applyFont="1" applyFill="1" applyBorder="1"/>
    <xf numFmtId="0" fontId="62" fillId="14" borderId="24" xfId="0" applyFont="1" applyFill="1" applyBorder="1" applyAlignment="1">
      <alignment horizontal="left" vertical="center" wrapText="1" indent="2"/>
    </xf>
    <xf numFmtId="0" fontId="0" fillId="14" borderId="24" xfId="0" applyFill="1" applyBorder="1" applyAlignment="1">
      <alignment horizontal="left" vertical="center" indent="2"/>
    </xf>
    <xf numFmtId="0" fontId="0" fillId="14" borderId="25" xfId="0" applyFill="1" applyBorder="1" applyAlignment="1">
      <alignment horizontal="left" vertical="center" indent="2"/>
    </xf>
    <xf numFmtId="0" fontId="0" fillId="2" borderId="18" xfId="0" applyFill="1" applyBorder="1" applyAlignment="1">
      <alignment horizontal="left" wrapText="1"/>
    </xf>
    <xf numFmtId="0" fontId="0" fillId="2" borderId="0" xfId="0" applyFill="1" applyAlignment="1">
      <alignment horizontal="left" wrapText="1"/>
    </xf>
    <xf numFmtId="0" fontId="53" fillId="14" borderId="0" xfId="0" applyFont="1" applyFill="1" applyAlignment="1">
      <alignment vertical="center" wrapText="1"/>
    </xf>
    <xf numFmtId="0" fontId="53" fillId="14" borderId="0" xfId="0" applyFont="1" applyFill="1" applyAlignment="1">
      <alignment horizontal="left" vertical="center" wrapText="1" indent="2"/>
    </xf>
    <xf numFmtId="0" fontId="50" fillId="14" borderId="0" xfId="0" applyFont="1" applyFill="1" applyAlignment="1">
      <alignment horizontal="left" wrapText="1"/>
    </xf>
    <xf numFmtId="0" fontId="50" fillId="14" borderId="15" xfId="0" applyFont="1" applyFill="1" applyBorder="1" applyAlignment="1">
      <alignment horizontal="left" wrapText="1"/>
    </xf>
    <xf numFmtId="0" fontId="9" fillId="14" borderId="0" xfId="0" applyFont="1" applyFill="1" applyAlignment="1">
      <alignment horizontal="center" vertical="center"/>
    </xf>
    <xf numFmtId="0" fontId="29" fillId="0" borderId="0" xfId="0" applyFont="1" applyAlignment="1">
      <alignment horizontal="center"/>
    </xf>
    <xf numFmtId="0" fontId="8" fillId="9" borderId="2" xfId="0" applyFont="1" applyFill="1" applyBorder="1" applyAlignment="1">
      <alignment horizontal="center" wrapText="1"/>
    </xf>
    <xf numFmtId="0" fontId="8" fillId="9" borderId="3" xfId="0" applyFont="1" applyFill="1" applyBorder="1" applyAlignment="1">
      <alignment horizontal="center" wrapText="1"/>
    </xf>
    <xf numFmtId="0" fontId="26" fillId="0" borderId="11" xfId="0" applyFont="1" applyBorder="1" applyAlignment="1">
      <alignment horizontal="center"/>
    </xf>
    <xf numFmtId="0" fontId="26" fillId="0" borderId="12" xfId="0" applyFont="1" applyBorder="1" applyAlignment="1">
      <alignment horizontal="center"/>
    </xf>
    <xf numFmtId="43" fontId="4" fillId="10" borderId="2" xfId="0" applyNumberFormat="1" applyFont="1" applyFill="1" applyBorder="1" applyAlignment="1">
      <alignment horizontal="right"/>
    </xf>
    <xf numFmtId="43" fontId="4" fillId="10" borderId="4" xfId="0" applyNumberFormat="1" applyFont="1" applyFill="1" applyBorder="1" applyAlignment="1">
      <alignment horizontal="right"/>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cellXfs>
  <cellStyles count="13">
    <cellStyle name="Calculation" xfId="5" builtinId="22"/>
    <cellStyle name="Comma" xfId="1" builtinId="3"/>
    <cellStyle name="Currency" xfId="4" builtinId="4"/>
    <cellStyle name="Hyperlink" xfId="6" builtinId="8"/>
    <cellStyle name="Input" xfId="3" builtinId="20"/>
    <cellStyle name="Normal" xfId="0" builtinId="0"/>
    <cellStyle name="Normal 2" xfId="7" xr:uid="{00000000-0005-0000-0000-000008000000}"/>
    <cellStyle name="Normal 2 2" xfId="8" xr:uid="{00000000-0005-0000-0000-000009000000}"/>
    <cellStyle name="Normal 2 3" xfId="9" xr:uid="{00000000-0005-0000-0000-00000A000000}"/>
    <cellStyle name="Normal 2 4" xfId="10" xr:uid="{00000000-0005-0000-0000-00000B000000}"/>
    <cellStyle name="Normal 2_Rents Rec." xfId="12" xr:uid="{8B986515-44A5-4218-9893-4D4A1CD1304C}"/>
    <cellStyle name="Normal 3" xfId="11" xr:uid="{00000000-0005-0000-0000-000034000000}"/>
    <cellStyle name="Percent" xfId="2" builtinId="5"/>
  </cellStyles>
  <dxfs count="37">
    <dxf>
      <font>
        <b/>
        <i val="0"/>
        <color theme="4" tint="-0.499984740745262"/>
      </font>
      <fill>
        <patternFill>
          <bgColor theme="4" tint="0.79998168889431442"/>
        </patternFill>
      </fill>
    </dxf>
    <dxf>
      <font>
        <color theme="4" tint="0.39994506668294322"/>
      </font>
    </dxf>
    <dxf>
      <font>
        <b val="0"/>
        <i val="0"/>
        <strike val="0"/>
        <condense val="0"/>
        <extend val="0"/>
        <outline val="0"/>
        <shadow val="0"/>
        <u val="none"/>
        <vertAlign val="baseline"/>
        <sz val="11"/>
        <color theme="1"/>
        <name val="Calibri"/>
        <family val="2"/>
        <scheme val="minor"/>
      </font>
      <numFmt numFmtId="164" formatCode="_(* #,##0_);_(* \(#,##0\);_(* &quot;-&quot;??_);_(@_)"/>
      <fill>
        <patternFill patternType="solid">
          <fgColor indexed="64"/>
          <bgColor rgb="FFF89E5C"/>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Calibri"/>
        <family val="2"/>
        <scheme val="minor"/>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0"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numFmt numFmtId="164" formatCode="_(* #,##0_);_(* \(#,##0\);_(* &quot;-&quot;??_);_(@_)"/>
      <fill>
        <patternFill patternType="solid">
          <fgColor indexed="64"/>
          <bgColor rgb="FFF89E5C"/>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family val="2"/>
        <scheme val="none"/>
      </font>
      <fill>
        <patternFill patternType="solid">
          <fgColor indexed="64"/>
          <bgColor rgb="FFF89E5C"/>
        </patternFill>
      </fill>
      <alignment horizontal="general" vertical="bottom" textRotation="0" wrapText="0" indent="0" justifyLastLine="0" shrinkToFit="0" readingOrder="0"/>
      <protection locked="0" hidden="0"/>
    </dxf>
    <dxf>
      <font>
        <b/>
        <i val="0"/>
        <strike val="0"/>
        <condense val="0"/>
        <extend val="0"/>
        <outline val="0"/>
        <shadow val="0"/>
        <u val="none"/>
        <vertAlign val="baseline"/>
        <sz val="14"/>
        <color theme="1"/>
        <name val="Calibri"/>
        <scheme val="minor"/>
      </font>
      <numFmt numFmtId="0" formatCode="General"/>
      <fill>
        <patternFill patternType="solid">
          <fgColor indexed="64"/>
          <bgColor rgb="FF0C7396"/>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000000"/>
      </font>
      <fill>
        <patternFill patternType="solid">
          <fgColor rgb="FFF3F3F3"/>
          <bgColor rgb="FFF3F3F3"/>
        </patternFill>
      </fill>
      <border>
        <right style="thin">
          <color rgb="FFFFFFFF"/>
        </right>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FFFFFF"/>
      </font>
      <fill>
        <patternFill patternType="solid">
          <fgColor rgb="FF666666"/>
          <bgColor rgb="FF666666"/>
        </patternFill>
      </fill>
      <border>
        <bottom style="thin">
          <color rgb="FFFFFFFF"/>
        </bottom>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color rgb="FF000000"/>
      </font>
      <fill>
        <patternFill patternType="solid">
          <fgColor rgb="FFD9D9D9"/>
          <bgColor rgb="FFD9D9D9"/>
        </patternFill>
      </fill>
      <border>
        <top style="thin">
          <color rgb="FFFFFFFF"/>
        </top>
      </border>
    </dxf>
    <dxf>
      <font>
        <b/>
        <color rgb="FF000000"/>
      </font>
      <fill>
        <patternFill patternType="solid">
          <fgColor rgb="FFD9D9D9"/>
          <bgColor rgb="FFD9D9D9"/>
        </patternFill>
      </fill>
      <border>
        <top style="double">
          <color rgb="FF000000"/>
        </top>
      </border>
    </dxf>
    <dxf>
      <font>
        <color rgb="FFFFFFFF"/>
      </font>
      <fill>
        <patternFill patternType="solid">
          <fgColor rgb="FF666666"/>
          <bgColor rgb="FF666666"/>
        </patternFill>
      </fill>
      <border>
        <bottom style="thin">
          <color rgb="FFFFFFFF"/>
        </bottom>
      </border>
    </dxf>
    <dxf>
      <font>
        <color rgb="FF000000"/>
      </font>
      <fill>
        <patternFill patternType="solid">
          <fgColor rgb="FFFFFFFF"/>
          <bgColor rgb="FFFFFFFF"/>
        </patternFill>
      </fill>
    </dxf>
  </dxfs>
  <tableStyles count="2" defaultTableStyle="TableStyleMedium2" defaultPivotStyle="PivotStyleLight16">
    <tableStyle name="Google Sheets Pivot Table Style" table="0" count="12" xr9:uid="{00000000-0011-0000-FFFF-FFFF00000000}">
      <tableStyleElement type="wholeTable" dxfId="36"/>
      <tableStyleElement type="headerRow" dxfId="35"/>
      <tableStyleElement type="totalRow" dxfId="34"/>
      <tableStyleElement type="firstSubtotalRow" dxfId="33"/>
      <tableStyleElement type="secondSubtotalRow" dxfId="32"/>
      <tableStyleElement type="thirdSubtotalRow" dxfId="31"/>
      <tableStyleElement type="firstColumnSubheading" dxfId="30"/>
      <tableStyleElement type="secondColumnSubheading" dxfId="29"/>
      <tableStyleElement type="thirdColumnSubheading" dxfId="28"/>
      <tableStyleElement type="firstRowSubheading" dxfId="27"/>
      <tableStyleElement type="secondRowSubheading" dxfId="26"/>
      <tableStyleElement type="thirdRowSubheading" dxfId="25"/>
    </tableStyle>
    <tableStyle name="3 mo cash flow18-style" pivot="0" count="3" xr9:uid="{00000000-0011-0000-FFFF-FFFF01000000}">
      <tableStyleElement type="headerRow" dxfId="24"/>
      <tableStyleElement type="firstRowStripe" dxfId="23"/>
      <tableStyleElement type="secondRowStripe" dxfId="22"/>
    </tableStyle>
  </tableStyles>
  <colors>
    <mruColors>
      <color rgb="FF0C7396"/>
      <color rgb="FFF0E0CA"/>
      <color rgb="FFF89E5C"/>
      <color rgb="FFDF4B4B"/>
      <color rgb="FF59ABAA"/>
      <color rgb="FF99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1028700</xdr:colOff>
      <xdr:row>3</xdr:row>
      <xdr:rowOff>180975</xdr:rowOff>
    </xdr:from>
    <xdr:to>
      <xdr:col>11</xdr:col>
      <xdr:colOff>38100</xdr:colOff>
      <xdr:row>10</xdr:row>
      <xdr:rowOff>76200</xdr:rowOff>
    </xdr:to>
    <xdr:sp macro="" textlink="">
      <xdr:nvSpPr>
        <xdr:cNvPr id="7" name="TextBox 6">
          <a:extLst>
            <a:ext uri="{FF2B5EF4-FFF2-40B4-BE49-F238E27FC236}">
              <a16:creationId xmlns:a16="http://schemas.microsoft.com/office/drawing/2014/main" id="{6C1EF2C6-E3B2-46E2-AFDA-BB204C201AE1}"/>
            </a:ext>
          </a:extLst>
        </xdr:cNvPr>
        <xdr:cNvSpPr txBox="1"/>
      </xdr:nvSpPr>
      <xdr:spPr>
        <a:xfrm>
          <a:off x="6867525" y="1533525"/>
          <a:ext cx="2190750" cy="1266825"/>
        </a:xfrm>
        <a:prstGeom prst="rect">
          <a:avLst/>
        </a:prstGeom>
        <a:solidFill>
          <a:srgbClr val="F89E5C"/>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100" b="1"/>
            <a:t>This forecasting</a:t>
          </a:r>
          <a:r>
            <a:rPr lang="en-US" sz="1100" b="1" baseline="0"/>
            <a:t> tool</a:t>
          </a:r>
          <a:r>
            <a:rPr lang="en-US" sz="1100" b="1"/>
            <a:t> has been optimized for Excel 2010 and newer. If you are using an older version of Excel, certain functionality and formatting will not work properly.</a:t>
          </a:r>
        </a:p>
      </xdr:txBody>
    </xdr:sp>
    <xdr:clientData/>
  </xdr:twoCellAnchor>
  <xdr:twoCellAnchor editAs="oneCell">
    <xdr:from>
      <xdr:col>8</xdr:col>
      <xdr:colOff>866775</xdr:colOff>
      <xdr:row>1</xdr:row>
      <xdr:rowOff>38101</xdr:rowOff>
    </xdr:from>
    <xdr:to>
      <xdr:col>11</xdr:col>
      <xdr:colOff>285750</xdr:colOff>
      <xdr:row>1</xdr:row>
      <xdr:rowOff>910626</xdr:rowOff>
    </xdr:to>
    <xdr:pic>
      <xdr:nvPicPr>
        <xdr:cNvPr id="3" name="Picture 2">
          <a:extLst>
            <a:ext uri="{FF2B5EF4-FFF2-40B4-BE49-F238E27FC236}">
              <a16:creationId xmlns:a16="http://schemas.microsoft.com/office/drawing/2014/main" id="{83E526BD-225A-402D-9956-49403C5BBE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8150" y="219076"/>
          <a:ext cx="1485900" cy="872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872491</xdr:colOff>
      <xdr:row>0</xdr:row>
      <xdr:rowOff>64770</xdr:rowOff>
    </xdr:from>
    <xdr:to>
      <xdr:col>17</xdr:col>
      <xdr:colOff>360046</xdr:colOff>
      <xdr:row>2</xdr:row>
      <xdr:rowOff>244050</xdr:rowOff>
    </xdr:to>
    <xdr:pic>
      <xdr:nvPicPr>
        <xdr:cNvPr id="5" name="Picture 4">
          <a:extLst>
            <a:ext uri="{FF2B5EF4-FFF2-40B4-BE49-F238E27FC236}">
              <a16:creationId xmlns:a16="http://schemas.microsoft.com/office/drawing/2014/main" id="{12C30BF3-2E05-4E45-AD1A-4EA2E76E95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541" y="64770"/>
          <a:ext cx="1301115" cy="7622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22</xdr:col>
      <xdr:colOff>0</xdr:colOff>
      <xdr:row>4</xdr:row>
      <xdr:rowOff>0</xdr:rowOff>
    </xdr:from>
    <xdr:to>
      <xdr:col>31</xdr:col>
      <xdr:colOff>305845</xdr:colOff>
      <xdr:row>18</xdr:row>
      <xdr:rowOff>47214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486900" y="762000"/>
          <a:ext cx="6876190" cy="328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2266950</xdr:colOff>
      <xdr:row>0</xdr:row>
      <xdr:rowOff>76200</xdr:rowOff>
    </xdr:from>
    <xdr:to>
      <xdr:col>16</xdr:col>
      <xdr:colOff>745550</xdr:colOff>
      <xdr:row>2</xdr:row>
      <xdr:rowOff>171450</xdr:rowOff>
    </xdr:to>
    <xdr:pic>
      <xdr:nvPicPr>
        <xdr:cNvPr id="5" name="Picture 4">
          <a:extLst>
            <a:ext uri="{FF2B5EF4-FFF2-40B4-BE49-F238E27FC236}">
              <a16:creationId xmlns:a16="http://schemas.microsoft.com/office/drawing/2014/main" id="{9F4AB60A-4DC5-452E-87E3-88CA30B5B7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21075" y="76200"/>
          <a:ext cx="1155125" cy="6781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6:Q27" totalsRowShown="0" headerRowDxfId="21" dataDxfId="20" tableBorderDxfId="19" totalsRowBorderDxfId="18" dataCellStyle="Comma">
  <autoFilter ref="B6:Q27" xr:uid="{00000000-0009-0000-0100-000001000000}"/>
  <sortState xmlns:xlrd2="http://schemas.microsoft.com/office/spreadsheetml/2017/richdata2" ref="B7:Q47">
    <sortCondition ref="P6:P47"/>
  </sortState>
  <tableColumns count="16">
    <tableColumn id="1" xr3:uid="{00000000-0010-0000-0100-000001000000}" name="Estimated Cash Flow Outflows" dataDxfId="17" dataCellStyle="Comma"/>
    <tableColumn id="2" xr3:uid="{00000000-0010-0000-0100-000002000000}" name="1" dataDxfId="16" dataCellStyle="Comma"/>
    <tableColumn id="3" xr3:uid="{00000000-0010-0000-0100-000003000000}" name="2" dataDxfId="15" dataCellStyle="Comma"/>
    <tableColumn id="4" xr3:uid="{00000000-0010-0000-0100-000004000000}" name="3" dataDxfId="14" dataCellStyle="Comma"/>
    <tableColumn id="22" xr3:uid="{D1EBDEB3-6D4E-44C2-9E70-B59942643ECF}" name="4" dataDxfId="13" dataCellStyle="Comma"/>
    <tableColumn id="21" xr3:uid="{3A317B79-8278-4C90-8730-175D53F1ED48}" name="5" dataDxfId="12" dataCellStyle="Comma"/>
    <tableColumn id="20" xr3:uid="{5658082E-3D9B-4EC7-8A13-192E8E53C326}" name="6" dataDxfId="11" dataCellStyle="Comma"/>
    <tableColumn id="19" xr3:uid="{9D14A2CE-2372-4A96-83E6-5116E15845DD}" name="7" dataDxfId="10" dataCellStyle="Comma"/>
    <tableColumn id="18" xr3:uid="{4541A000-B091-4B60-8358-F3689FEDA53B}" name="8" dataDxfId="9" dataCellStyle="Comma"/>
    <tableColumn id="17" xr3:uid="{605A1540-0352-481B-8516-E09C8DCE6177}" name="9" dataDxfId="8" dataCellStyle="Comma"/>
    <tableColumn id="16" xr3:uid="{2A9C3848-77B2-489F-BEBD-ED4D1906515A}" name="10" dataDxfId="7" dataCellStyle="Comma"/>
    <tableColumn id="15" xr3:uid="{55B25C1C-BA0D-4583-B3F5-D6A9816216DB}" name="11" dataDxfId="6" dataCellStyle="Comma"/>
    <tableColumn id="14" xr3:uid="{36AA14A5-A72C-459F-AC32-CEC8AB82ADB6}" name="12" dataDxfId="5" dataCellStyle="Comma"/>
    <tableColumn id="13" xr3:uid="{D5BC3703-F7F0-49D1-934D-8583045E146D}" name="13" dataDxfId="4" dataCellStyle="Comma"/>
    <tableColumn id="5" xr3:uid="{00000000-0010-0000-0100-000005000000}" name="Category" dataDxfId="3" dataCellStyle="Comma"/>
    <tableColumn id="6" xr3:uid="{00000000-0010-0000-0100-000006000000}" name="Notes" dataDxfId="2"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9"/>
  <sheetViews>
    <sheetView workbookViewId="0"/>
  </sheetViews>
  <sheetFormatPr defaultRowHeight="14.4" x14ac:dyDescent="0.3"/>
  <cols>
    <col min="1" max="1" width="5.109375" style="53" customWidth="1"/>
    <col min="2" max="2" width="5.109375" customWidth="1"/>
    <col min="3" max="3" width="99.44140625" bestFit="1" customWidth="1"/>
  </cols>
  <sheetData>
    <row r="1" spans="1:3" ht="23.4" x14ac:dyDescent="0.45">
      <c r="C1" s="52" t="s">
        <v>0</v>
      </c>
    </row>
    <row r="3" spans="1:3" x14ac:dyDescent="0.3">
      <c r="A3" s="53">
        <v>1</v>
      </c>
      <c r="B3" t="s">
        <v>1</v>
      </c>
    </row>
    <row r="4" spans="1:3" x14ac:dyDescent="0.3">
      <c r="A4" s="53">
        <v>2</v>
      </c>
      <c r="B4" t="s">
        <v>2</v>
      </c>
    </row>
    <row r="5" spans="1:3" x14ac:dyDescent="0.3">
      <c r="A5" s="53">
        <v>3</v>
      </c>
      <c r="B5" t="s">
        <v>3</v>
      </c>
    </row>
    <row r="6" spans="1:3" x14ac:dyDescent="0.3">
      <c r="B6" t="s">
        <v>4</v>
      </c>
      <c r="C6" t="s">
        <v>5</v>
      </c>
    </row>
    <row r="7" spans="1:3" x14ac:dyDescent="0.3">
      <c r="A7" s="53">
        <v>4</v>
      </c>
      <c r="B7" s="7" t="s">
        <v>6</v>
      </c>
      <c r="C7" s="7"/>
    </row>
    <row r="8" spans="1:3" x14ac:dyDescent="0.3">
      <c r="A8" s="53">
        <v>5</v>
      </c>
      <c r="B8" t="s">
        <v>7</v>
      </c>
    </row>
    <row r="9" spans="1:3" x14ac:dyDescent="0.3">
      <c r="A9" s="53">
        <v>6</v>
      </c>
      <c r="B9" t="s">
        <v>8</v>
      </c>
    </row>
  </sheetData>
  <pageMargins left="0.45" right="0.4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A199B-D0D3-4F1F-A091-BD1E1257DD92}">
  <dimension ref="A1:BL172"/>
  <sheetViews>
    <sheetView tabSelected="1" workbookViewId="0">
      <selection activeCell="E4" sqref="E4"/>
    </sheetView>
  </sheetViews>
  <sheetFormatPr defaultColWidth="9.109375" defaultRowHeight="14.4" x14ac:dyDescent="0.3"/>
  <cols>
    <col min="1" max="1" width="2.88671875" style="1" customWidth="1"/>
    <col min="2" max="2" width="3.109375" customWidth="1"/>
    <col min="3" max="3" width="2.6640625" customWidth="1"/>
    <col min="4" max="4" width="27.5546875" customWidth="1"/>
    <col min="5" max="5" width="29" customWidth="1"/>
    <col min="6" max="6" width="7.6640625" customWidth="1"/>
    <col min="7" max="7" width="14.5546875" customWidth="1"/>
    <col min="8" max="8" width="17.44140625" customWidth="1"/>
    <col min="9" max="9" width="14.5546875" customWidth="1"/>
    <col min="10" max="10" width="1.109375" customWidth="1"/>
    <col min="11" max="12" width="14.5546875" customWidth="1"/>
    <col min="13" max="13" width="0.5546875" customWidth="1"/>
    <col min="14" max="14" width="9.6640625" bestFit="1" customWidth="1"/>
    <col min="15" max="15" width="10.6640625" bestFit="1" customWidth="1"/>
    <col min="17" max="23" width="9.109375" hidden="1" customWidth="1"/>
  </cols>
  <sheetData>
    <row r="1" spans="2:64" s="1" customFormat="1" x14ac:dyDescent="0.3">
      <c r="B1" s="170"/>
      <c r="H1" s="171"/>
      <c r="J1" s="171"/>
      <c r="K1" s="171"/>
    </row>
    <row r="2" spans="2:64" ht="82.5" customHeight="1" x14ac:dyDescent="0.3">
      <c r="B2" s="197"/>
      <c r="C2" s="217" t="s">
        <v>9</v>
      </c>
      <c r="D2" s="217"/>
      <c r="E2" s="218"/>
      <c r="F2" s="218"/>
      <c r="G2" s="218"/>
      <c r="H2" s="218"/>
      <c r="I2" s="218"/>
      <c r="J2" s="218"/>
      <c r="K2" s="218"/>
      <c r="L2" s="218"/>
      <c r="M2" s="219"/>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9" customHeight="1" x14ac:dyDescent="0.3">
      <c r="B3" s="198"/>
      <c r="C3" s="157"/>
      <c r="D3" s="157"/>
      <c r="E3" s="158"/>
      <c r="F3" s="158"/>
      <c r="G3" s="158"/>
      <c r="H3" s="158"/>
      <c r="I3" s="158"/>
      <c r="J3" s="158"/>
      <c r="K3" s="158"/>
      <c r="L3" s="158"/>
      <c r="M3" s="159"/>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15.75" customHeight="1" x14ac:dyDescent="0.3">
      <c r="B4" s="198"/>
      <c r="C4" s="160" t="s">
        <v>10</v>
      </c>
      <c r="D4" s="161"/>
      <c r="E4" s="178" t="s">
        <v>11</v>
      </c>
      <c r="F4" s="158"/>
      <c r="G4" s="162"/>
      <c r="H4" s="162"/>
      <c r="I4" s="162"/>
      <c r="J4" s="162"/>
      <c r="K4" s="162"/>
      <c r="L4" s="162"/>
      <c r="M4" s="163"/>
      <c r="N4" s="1"/>
      <c r="O4" s="1"/>
      <c r="P4" s="1"/>
      <c r="Q4" s="1"/>
      <c r="R4" s="1"/>
      <c r="S4" s="1"/>
      <c r="T4" s="1"/>
      <c r="U4" s="1"/>
      <c r="V4" s="1"/>
      <c r="W4" s="1"/>
      <c r="X4" s="1"/>
      <c r="Y4" s="1"/>
      <c r="Z4" s="1"/>
      <c r="AA4" s="1"/>
      <c r="AB4" s="1"/>
      <c r="AC4" s="1"/>
      <c r="AD4" s="1"/>
      <c r="AE4" s="1"/>
      <c r="AF4" s="1"/>
      <c r="AG4" s="1"/>
      <c r="AH4" s="1"/>
      <c r="AI4" s="1"/>
      <c r="AJ4" s="1"/>
    </row>
    <row r="5" spans="2:64" ht="24" customHeight="1" x14ac:dyDescent="0.3">
      <c r="B5" s="198"/>
      <c r="C5" s="1"/>
      <c r="D5" s="1"/>
      <c r="E5" s="158"/>
      <c r="F5" s="158"/>
      <c r="G5" s="158"/>
      <c r="H5" s="158"/>
      <c r="I5" s="158"/>
      <c r="J5" s="158"/>
      <c r="K5" s="158"/>
      <c r="L5" s="158"/>
      <c r="M5" s="159"/>
      <c r="N5" s="1"/>
      <c r="O5" s="172"/>
      <c r="P5" s="1"/>
      <c r="Q5" s="173"/>
      <c r="R5" s="173"/>
      <c r="S5" s="173"/>
      <c r="T5" s="173" t="e">
        <f>100000/52*#REF!</f>
        <v>#REF!</v>
      </c>
      <c r="U5" s="173"/>
      <c r="V5" s="173"/>
      <c r="W5" s="173"/>
      <c r="X5" s="1"/>
      <c r="Y5" s="1"/>
      <c r="Z5" s="1"/>
      <c r="AA5" s="1"/>
      <c r="AB5" s="1"/>
      <c r="AC5" s="1"/>
      <c r="AD5" s="1"/>
      <c r="AE5" s="1"/>
      <c r="AF5" s="1"/>
      <c r="AG5" s="1"/>
      <c r="AH5" s="1"/>
      <c r="AI5" s="1"/>
      <c r="AJ5" s="1"/>
    </row>
    <row r="6" spans="2:64" ht="15" customHeight="1" x14ac:dyDescent="0.3">
      <c r="B6" s="198"/>
      <c r="C6" s="164"/>
      <c r="D6" s="164"/>
      <c r="E6" s="165"/>
      <c r="F6" s="165"/>
      <c r="G6" s="165"/>
      <c r="H6" s="165"/>
      <c r="I6" s="165"/>
      <c r="J6" s="165"/>
      <c r="K6" s="165"/>
      <c r="L6" s="165"/>
      <c r="M6" s="159"/>
      <c r="N6" s="1"/>
      <c r="O6" s="1"/>
      <c r="P6" s="1"/>
      <c r="Q6" s="1"/>
      <c r="R6" s="1"/>
      <c r="S6" s="1"/>
      <c r="T6" s="1"/>
      <c r="U6" s="1"/>
      <c r="V6" s="1"/>
      <c r="W6" s="1"/>
      <c r="X6" s="1"/>
      <c r="Y6" s="1"/>
      <c r="Z6" s="1"/>
      <c r="AA6" s="1"/>
      <c r="AB6" s="1"/>
      <c r="AC6" s="1"/>
      <c r="AD6" s="1"/>
      <c r="AE6" s="1"/>
      <c r="AF6" s="1"/>
      <c r="AG6" s="1"/>
      <c r="AH6" s="1"/>
      <c r="AI6" s="1"/>
      <c r="AJ6" s="1"/>
    </row>
    <row r="7" spans="2:64" ht="8.25" customHeight="1" x14ac:dyDescent="0.3">
      <c r="B7" s="198"/>
      <c r="C7" s="1"/>
      <c r="D7" s="1"/>
      <c r="E7" s="158"/>
      <c r="F7" s="158"/>
      <c r="G7" s="158"/>
      <c r="H7" s="158"/>
      <c r="I7" s="158"/>
      <c r="J7" s="158"/>
      <c r="K7" s="158"/>
      <c r="L7" s="158"/>
      <c r="M7" s="159"/>
      <c r="N7" s="1"/>
      <c r="O7" s="1"/>
      <c r="Q7" s="1"/>
      <c r="R7" s="1"/>
      <c r="S7" s="1"/>
      <c r="T7" s="1"/>
      <c r="U7" s="1"/>
      <c r="V7" s="1"/>
      <c r="W7" s="1"/>
      <c r="X7" s="1"/>
      <c r="Y7" s="1"/>
      <c r="Z7" s="1"/>
      <c r="AA7" s="1"/>
      <c r="AB7" s="1"/>
      <c r="AC7" s="1"/>
      <c r="AD7" s="1"/>
      <c r="AE7" s="1"/>
      <c r="AF7" s="1"/>
      <c r="AG7" s="1"/>
      <c r="AH7" s="1"/>
      <c r="AI7" s="1"/>
      <c r="AJ7" s="1"/>
    </row>
    <row r="8" spans="2:64" x14ac:dyDescent="0.3">
      <c r="B8" s="198"/>
      <c r="C8" s="166" t="s">
        <v>12</v>
      </c>
      <c r="D8" s="166"/>
      <c r="E8" s="158"/>
      <c r="F8" s="158"/>
      <c r="G8" s="158"/>
      <c r="H8" s="158"/>
      <c r="I8" s="158"/>
      <c r="J8" s="158"/>
      <c r="K8" s="158"/>
      <c r="L8" s="158"/>
      <c r="M8" s="159"/>
      <c r="N8" s="1"/>
      <c r="O8" s="1"/>
      <c r="P8" s="1"/>
      <c r="Q8" s="1"/>
      <c r="R8" s="1"/>
      <c r="S8" s="1"/>
      <c r="T8" s="1"/>
      <c r="U8" s="1"/>
      <c r="V8" s="1"/>
      <c r="W8" s="1"/>
      <c r="X8" s="1"/>
      <c r="Y8" s="1"/>
      <c r="Z8" s="1"/>
      <c r="AA8" s="1"/>
      <c r="AB8" s="1"/>
      <c r="AC8" s="1"/>
      <c r="AD8" s="1"/>
      <c r="AE8" s="1"/>
      <c r="AF8" s="1"/>
      <c r="AG8" s="1"/>
      <c r="AH8" s="1"/>
      <c r="AI8" s="1"/>
      <c r="AJ8" s="1"/>
    </row>
    <row r="9" spans="2:64" x14ac:dyDescent="0.3">
      <c r="B9" s="198"/>
      <c r="C9" s="160" t="s">
        <v>13</v>
      </c>
      <c r="D9" s="160"/>
      <c r="E9" s="158"/>
      <c r="F9" s="158"/>
      <c r="G9" s="158"/>
      <c r="H9" s="158"/>
      <c r="I9" s="158"/>
      <c r="J9" s="158"/>
      <c r="K9" s="158"/>
      <c r="L9" s="158"/>
      <c r="M9" s="159"/>
      <c r="N9" s="1"/>
      <c r="O9" s="1"/>
      <c r="P9" s="1"/>
      <c r="Q9" s="1"/>
      <c r="R9" s="1"/>
      <c r="S9" s="1"/>
      <c r="T9" s="1"/>
      <c r="U9" s="1"/>
      <c r="V9" s="1"/>
      <c r="W9" s="1"/>
      <c r="X9" s="1"/>
      <c r="Y9" s="1"/>
      <c r="Z9" s="1"/>
      <c r="AA9" s="1"/>
      <c r="AB9" s="1"/>
      <c r="AC9" s="1"/>
      <c r="AD9" s="1"/>
      <c r="AE9" s="1"/>
      <c r="AF9" s="1"/>
      <c r="AG9" s="1"/>
      <c r="AH9" s="1"/>
      <c r="AI9" s="1"/>
      <c r="AJ9" s="1"/>
    </row>
    <row r="10" spans="2:64" ht="15" customHeight="1" x14ac:dyDescent="0.3">
      <c r="B10" s="198"/>
      <c r="C10" s="179"/>
      <c r="D10" s="167" t="s">
        <v>14</v>
      </c>
      <c r="F10" s="158"/>
      <c r="G10" s="158"/>
      <c r="H10" s="158"/>
      <c r="I10" s="158"/>
      <c r="J10" s="158"/>
      <c r="K10" s="158"/>
      <c r="L10" s="158"/>
      <c r="M10" s="159"/>
      <c r="N10" s="220"/>
      <c r="O10" s="221"/>
      <c r="P10" s="221"/>
      <c r="Q10" s="221"/>
      <c r="R10" s="221"/>
      <c r="S10" s="221"/>
      <c r="T10" s="221"/>
      <c r="U10" s="221"/>
      <c r="V10" s="221"/>
      <c r="W10" s="221"/>
      <c r="X10" s="221"/>
      <c r="Y10" s="221"/>
      <c r="Z10" s="221"/>
      <c r="AA10" s="221"/>
      <c r="AB10" s="1"/>
      <c r="AC10" s="1"/>
      <c r="AD10" s="1"/>
      <c r="AE10" s="1"/>
      <c r="AF10" s="1"/>
      <c r="AG10" s="1"/>
      <c r="AH10" s="1"/>
      <c r="AI10" s="1"/>
      <c r="AJ10" s="1"/>
    </row>
    <row r="11" spans="2:64" x14ac:dyDescent="0.3">
      <c r="B11" s="198"/>
      <c r="C11" s="153"/>
      <c r="D11" s="167" t="s">
        <v>15</v>
      </c>
      <c r="E11" s="1"/>
      <c r="F11" s="158"/>
      <c r="G11" s="158"/>
      <c r="H11" s="158"/>
      <c r="I11" s="158"/>
      <c r="J11" s="158"/>
      <c r="K11" s="158"/>
      <c r="L11" s="158"/>
      <c r="M11" s="159"/>
      <c r="N11" s="220"/>
      <c r="O11" s="221"/>
      <c r="P11" s="221"/>
      <c r="Q11" s="221"/>
      <c r="R11" s="221"/>
      <c r="S11" s="221"/>
      <c r="T11" s="221"/>
      <c r="U11" s="221"/>
      <c r="V11" s="221"/>
      <c r="W11" s="221"/>
      <c r="X11" s="221"/>
      <c r="Y11" s="221"/>
      <c r="Z11" s="221"/>
      <c r="AA11" s="221"/>
      <c r="AB11" s="1"/>
      <c r="AC11" s="1"/>
      <c r="AD11" s="1"/>
      <c r="AE11" s="1"/>
      <c r="AF11" s="1"/>
      <c r="AG11" s="1"/>
      <c r="AH11" s="1"/>
      <c r="AI11" s="1"/>
      <c r="AJ11" s="1"/>
    </row>
    <row r="12" spans="2:64" x14ac:dyDescent="0.3">
      <c r="B12" s="198"/>
      <c r="C12" s="166"/>
      <c r="D12" s="188" t="s">
        <v>16</v>
      </c>
      <c r="E12" s="158"/>
      <c r="F12" s="158"/>
      <c r="G12" s="158"/>
      <c r="H12" s="158"/>
      <c r="I12" s="158"/>
      <c r="J12" s="158"/>
      <c r="K12" s="158"/>
      <c r="L12" s="158"/>
      <c r="M12" s="159"/>
      <c r="N12" s="220"/>
      <c r="O12" s="221"/>
      <c r="P12" s="221"/>
      <c r="Q12" s="221"/>
      <c r="R12" s="221"/>
      <c r="S12" s="221"/>
      <c r="T12" s="221"/>
      <c r="U12" s="221"/>
      <c r="V12" s="221"/>
      <c r="W12" s="221"/>
      <c r="X12" s="221"/>
      <c r="Y12" s="221"/>
      <c r="Z12" s="221"/>
      <c r="AA12" s="221"/>
      <c r="AB12" s="1"/>
      <c r="AC12" s="1"/>
      <c r="AD12" s="1"/>
      <c r="AE12" s="1"/>
      <c r="AF12" s="1"/>
      <c r="AG12" s="1"/>
      <c r="AH12" s="1"/>
      <c r="AI12" s="1"/>
      <c r="AJ12" s="1"/>
    </row>
    <row r="13" spans="2:64" x14ac:dyDescent="0.3">
      <c r="B13" s="201"/>
      <c r="C13" s="168"/>
      <c r="D13" s="168"/>
      <c r="E13" s="168"/>
      <c r="F13" s="168"/>
      <c r="G13" s="168"/>
      <c r="H13" s="168"/>
      <c r="I13" s="168"/>
      <c r="J13" s="168"/>
      <c r="K13" s="168"/>
      <c r="L13" s="168"/>
      <c r="M13" s="169"/>
      <c r="N13" s="174"/>
      <c r="O13" s="1"/>
      <c r="P13" s="1"/>
      <c r="Q13" s="1"/>
      <c r="R13" s="1"/>
      <c r="S13" s="1"/>
      <c r="T13" s="1"/>
      <c r="U13" s="1"/>
      <c r="V13" s="1"/>
      <c r="W13" s="1"/>
      <c r="X13" s="1"/>
      <c r="Y13" s="1"/>
      <c r="Z13" s="1"/>
      <c r="AA13" s="1"/>
      <c r="AB13" s="1"/>
      <c r="AC13" s="1"/>
      <c r="AD13" s="1"/>
      <c r="AE13" s="1"/>
      <c r="AF13" s="1"/>
      <c r="AG13" s="1"/>
      <c r="AH13" s="1"/>
      <c r="AI13" s="1"/>
      <c r="AJ13" s="1"/>
    </row>
    <row r="14" spans="2:64" s="1" customFormat="1" x14ac:dyDescent="0.3"/>
    <row r="15" spans="2:64" s="1" customFormat="1" x14ac:dyDescent="0.3"/>
    <row r="16" spans="2:64" s="1" customFormat="1" x14ac:dyDescent="0.3"/>
    <row r="17" s="1" customFormat="1" x14ac:dyDescent="0.3"/>
    <row r="18" s="1" customFormat="1" x14ac:dyDescent="0.3"/>
    <row r="19" s="1" customFormat="1" x14ac:dyDescent="0.3"/>
    <row r="20" s="1" customFormat="1" x14ac:dyDescent="0.3"/>
    <row r="21" s="1" customFormat="1" x14ac:dyDescent="0.3"/>
    <row r="22" s="1" customFormat="1" x14ac:dyDescent="0.3"/>
    <row r="23" s="1" customFormat="1" x14ac:dyDescent="0.3"/>
    <row r="24" s="1" customFormat="1" x14ac:dyDescent="0.3"/>
    <row r="25" s="1" customFormat="1" x14ac:dyDescent="0.3"/>
    <row r="26" s="1" customFormat="1" x14ac:dyDescent="0.3"/>
    <row r="27" s="1" customFormat="1" x14ac:dyDescent="0.3"/>
    <row r="28" s="1" customFormat="1" x14ac:dyDescent="0.3"/>
    <row r="29" s="1" customFormat="1" x14ac:dyDescent="0.3"/>
    <row r="30" s="1" customFormat="1" x14ac:dyDescent="0.3"/>
    <row r="31" s="1" customFormat="1" x14ac:dyDescent="0.3"/>
    <row r="32" s="1" customFormat="1" x14ac:dyDescent="0.3"/>
    <row r="33" s="1" customFormat="1" x14ac:dyDescent="0.3"/>
    <row r="34" s="1" customFormat="1" x14ac:dyDescent="0.3"/>
    <row r="35" s="1" customFormat="1" x14ac:dyDescent="0.3"/>
    <row r="36" s="1" customFormat="1" x14ac:dyDescent="0.3"/>
    <row r="37" s="1" customFormat="1" x14ac:dyDescent="0.3"/>
    <row r="38" s="1" customFormat="1" x14ac:dyDescent="0.3"/>
    <row r="39" s="1" customFormat="1" x14ac:dyDescent="0.3"/>
    <row r="40" s="1" customFormat="1" x14ac:dyDescent="0.3"/>
    <row r="41" s="1" customFormat="1" x14ac:dyDescent="0.3"/>
    <row r="42" s="1" customFormat="1" x14ac:dyDescent="0.3"/>
    <row r="43" s="1" customFormat="1" x14ac:dyDescent="0.3"/>
    <row r="44" s="1" customFormat="1" x14ac:dyDescent="0.3"/>
    <row r="45" s="1" customFormat="1" x14ac:dyDescent="0.3"/>
    <row r="46" s="1" customFormat="1" x14ac:dyDescent="0.3"/>
    <row r="47" s="1" customFormat="1" x14ac:dyDescent="0.3"/>
    <row r="48" s="1" customFormat="1" x14ac:dyDescent="0.3"/>
    <row r="49" s="1" customFormat="1" x14ac:dyDescent="0.3"/>
    <row r="50" s="1" customFormat="1" x14ac:dyDescent="0.3"/>
    <row r="51" s="1" customFormat="1" x14ac:dyDescent="0.3"/>
    <row r="52" s="1" customFormat="1" x14ac:dyDescent="0.3"/>
    <row r="53" s="1" customFormat="1" x14ac:dyDescent="0.3"/>
    <row r="54" s="1" customFormat="1" x14ac:dyDescent="0.3"/>
    <row r="55" s="1" customFormat="1" x14ac:dyDescent="0.3"/>
    <row r="56" s="1" customFormat="1" x14ac:dyDescent="0.3"/>
    <row r="57" s="1" customFormat="1" x14ac:dyDescent="0.3"/>
    <row r="58" s="1" customFormat="1" x14ac:dyDescent="0.3"/>
    <row r="59" s="1" customFormat="1" x14ac:dyDescent="0.3"/>
    <row r="60" s="1" customFormat="1" x14ac:dyDescent="0.3"/>
    <row r="61" s="1" customFormat="1" x14ac:dyDescent="0.3"/>
    <row r="62" s="1" customFormat="1" x14ac:dyDescent="0.3"/>
    <row r="63" s="1" customFormat="1" x14ac:dyDescent="0.3"/>
    <row r="64" s="1" customFormat="1" x14ac:dyDescent="0.3"/>
    <row r="65" s="1" customFormat="1" x14ac:dyDescent="0.3"/>
    <row r="66" s="1" customFormat="1" x14ac:dyDescent="0.3"/>
    <row r="67" s="1" customFormat="1" x14ac:dyDescent="0.3"/>
    <row r="68" s="1" customFormat="1" x14ac:dyDescent="0.3"/>
    <row r="69" s="1" customFormat="1" x14ac:dyDescent="0.3"/>
    <row r="70" s="1" customFormat="1" x14ac:dyDescent="0.3"/>
    <row r="71" s="1" customFormat="1" x14ac:dyDescent="0.3"/>
    <row r="72" s="1" customFormat="1" x14ac:dyDescent="0.3"/>
    <row r="73" s="1" customFormat="1" x14ac:dyDescent="0.3"/>
    <row r="74" s="1" customFormat="1" x14ac:dyDescent="0.3"/>
    <row r="75" s="1" customFormat="1" x14ac:dyDescent="0.3"/>
    <row r="76" s="1" customFormat="1" x14ac:dyDescent="0.3"/>
    <row r="77" s="1" customFormat="1" x14ac:dyDescent="0.3"/>
    <row r="78" s="1" customFormat="1" x14ac:dyDescent="0.3"/>
    <row r="79" s="1" customFormat="1" x14ac:dyDescent="0.3"/>
    <row r="80" s="1" customFormat="1" x14ac:dyDescent="0.3"/>
    <row r="81" s="1" customFormat="1" x14ac:dyDescent="0.3"/>
    <row r="82" s="1" customFormat="1" x14ac:dyDescent="0.3"/>
    <row r="83" s="1" customFormat="1" x14ac:dyDescent="0.3"/>
    <row r="84" s="1" customFormat="1" x14ac:dyDescent="0.3"/>
    <row r="85" s="1" customFormat="1" x14ac:dyDescent="0.3"/>
    <row r="86" s="1" customFormat="1" x14ac:dyDescent="0.3"/>
    <row r="87" s="1" customFormat="1" x14ac:dyDescent="0.3"/>
    <row r="88" s="1" customFormat="1" x14ac:dyDescent="0.3"/>
    <row r="89" s="1" customFormat="1" x14ac:dyDescent="0.3"/>
    <row r="90" s="1" customFormat="1" x14ac:dyDescent="0.3"/>
    <row r="91" s="1" customFormat="1" x14ac:dyDescent="0.3"/>
    <row r="92" s="1" customFormat="1" x14ac:dyDescent="0.3"/>
    <row r="93" s="1" customFormat="1" x14ac:dyDescent="0.3"/>
    <row r="94" s="1" customFormat="1" x14ac:dyDescent="0.3"/>
    <row r="95" s="1" customFormat="1" x14ac:dyDescent="0.3"/>
    <row r="96"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sheetData>
  <mergeCells count="2">
    <mergeCell ref="C2:M2"/>
    <mergeCell ref="N10:AA12"/>
  </mergeCells>
  <conditionalFormatting sqref="D4:E4">
    <cfRule type="cellIs" dxfId="1" priority="1" operator="equal">
      <formula>0</formula>
    </cfRule>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D198"/>
  <sheetViews>
    <sheetView workbookViewId="0">
      <pane xSplit="3" ySplit="6" topLeftCell="D7" activePane="bottomRight" state="frozen"/>
      <selection pane="topRight"/>
      <selection pane="bottomLeft"/>
      <selection pane="bottomRight" activeCell="E18" sqref="E18"/>
    </sheetView>
  </sheetViews>
  <sheetFormatPr defaultColWidth="9.109375" defaultRowHeight="14.4" x14ac:dyDescent="0.3"/>
  <cols>
    <col min="1" max="1" width="20.109375" style="133" hidden="1" customWidth="1"/>
    <col min="2" max="2" width="3.109375" customWidth="1"/>
    <col min="3" max="3" width="41.5546875" style="1" bestFit="1" customWidth="1"/>
    <col min="4" max="16" width="10.6640625" style="1" customWidth="1"/>
    <col min="17" max="17" width="26.44140625" style="1" customWidth="1"/>
    <col min="18" max="18" width="13.6640625" style="1" customWidth="1"/>
    <col min="19" max="19" width="9.109375" style="144"/>
    <col min="20" max="16384" width="9.109375" style="1"/>
  </cols>
  <sheetData>
    <row r="1" spans="1:30" ht="23.4" x14ac:dyDescent="0.3">
      <c r="A1" s="224" t="s">
        <v>17</v>
      </c>
      <c r="B1" s="197"/>
      <c r="C1" s="222" t="str">
        <f>Instructions!E4</f>
        <v>[Enter Company Name]</v>
      </c>
      <c r="D1" s="222"/>
      <c r="E1" s="222"/>
      <c r="F1" s="222"/>
      <c r="G1" s="222"/>
      <c r="H1" s="222"/>
      <c r="I1" s="222"/>
      <c r="J1" s="222"/>
      <c r="K1" s="222"/>
      <c r="L1" s="222"/>
      <c r="M1" s="222"/>
      <c r="N1" s="222"/>
      <c r="O1" s="222"/>
      <c r="P1" s="222"/>
      <c r="Q1" s="222"/>
      <c r="R1" s="222"/>
    </row>
    <row r="2" spans="1:30" ht="23.4" x14ac:dyDescent="0.3">
      <c r="A2" s="225"/>
      <c r="B2" s="198"/>
      <c r="C2" s="222" t="s">
        <v>18</v>
      </c>
      <c r="D2" s="222"/>
      <c r="E2" s="222"/>
      <c r="F2" s="222"/>
      <c r="G2" s="222"/>
      <c r="H2" s="222"/>
      <c r="I2" s="222"/>
      <c r="J2" s="222"/>
      <c r="K2" s="222"/>
      <c r="L2" s="222"/>
      <c r="M2" s="222"/>
      <c r="N2" s="222"/>
      <c r="O2" s="222"/>
      <c r="P2" s="222"/>
      <c r="Q2" s="222"/>
      <c r="R2" s="222"/>
    </row>
    <row r="3" spans="1:30" ht="23.4" x14ac:dyDescent="0.3">
      <c r="A3" s="196"/>
      <c r="B3" s="198"/>
      <c r="C3" s="223"/>
      <c r="D3" s="223"/>
      <c r="E3" s="223"/>
      <c r="F3" s="223"/>
      <c r="G3" s="223"/>
      <c r="H3" s="223"/>
      <c r="I3" s="223"/>
      <c r="J3" s="223"/>
      <c r="K3" s="223"/>
      <c r="L3" s="223"/>
      <c r="M3" s="223"/>
      <c r="N3" s="223"/>
      <c r="O3" s="223"/>
      <c r="P3" s="223"/>
      <c r="Q3" s="223"/>
      <c r="R3" s="223"/>
    </row>
    <row r="4" spans="1:30" ht="23.4" x14ac:dyDescent="0.3">
      <c r="A4" s="196"/>
      <c r="B4" s="198"/>
      <c r="C4" s="137"/>
      <c r="D4" s="137"/>
      <c r="E4" s="137"/>
      <c r="F4" s="137"/>
      <c r="G4" s="137"/>
      <c r="H4" s="137"/>
      <c r="I4" s="137"/>
      <c r="J4" s="137"/>
      <c r="K4" s="137"/>
      <c r="L4" s="137"/>
      <c r="M4" s="137"/>
      <c r="N4" s="137"/>
      <c r="O4" s="137"/>
      <c r="P4" s="137"/>
      <c r="Q4" s="137"/>
      <c r="R4" s="137"/>
    </row>
    <row r="5" spans="1:30" ht="15.6" x14ac:dyDescent="0.3">
      <c r="A5" s="196"/>
      <c r="B5" s="198"/>
      <c r="C5" s="189" t="s">
        <v>19</v>
      </c>
      <c r="D5" s="190">
        <v>1</v>
      </c>
      <c r="E5" s="190">
        <v>2</v>
      </c>
      <c r="F5" s="190">
        <v>3</v>
      </c>
      <c r="G5" s="190">
        <v>4</v>
      </c>
      <c r="H5" s="190">
        <v>5</v>
      </c>
      <c r="I5" s="190">
        <v>6</v>
      </c>
      <c r="J5" s="190">
        <v>7</v>
      </c>
      <c r="K5" s="190">
        <v>8</v>
      </c>
      <c r="L5" s="190">
        <v>9</v>
      </c>
      <c r="M5" s="190">
        <v>10</v>
      </c>
      <c r="N5" s="190">
        <v>11</v>
      </c>
      <c r="O5" s="190">
        <v>12</v>
      </c>
      <c r="P5" s="190">
        <v>13</v>
      </c>
      <c r="Q5" s="226"/>
      <c r="R5" s="226"/>
    </row>
    <row r="6" spans="1:30" ht="15.6" x14ac:dyDescent="0.3">
      <c r="A6" s="199" t="s">
        <v>20</v>
      </c>
      <c r="B6" s="198"/>
      <c r="C6" s="191" t="s">
        <v>21</v>
      </c>
      <c r="D6" s="192">
        <f>'Weekly outflows - detail'!C5</f>
        <v>45809</v>
      </c>
      <c r="E6" s="192">
        <f>'Weekly outflows - detail'!D5</f>
        <v>45816</v>
      </c>
      <c r="F6" s="192">
        <f>'Weekly outflows - detail'!E5</f>
        <v>45823</v>
      </c>
      <c r="G6" s="192">
        <f>'Weekly outflows - detail'!F5</f>
        <v>45830</v>
      </c>
      <c r="H6" s="192">
        <f>'Weekly outflows - detail'!G5</f>
        <v>45837</v>
      </c>
      <c r="I6" s="192">
        <f>'Weekly outflows - detail'!H5</f>
        <v>45844</v>
      </c>
      <c r="J6" s="192">
        <f>'Weekly outflows - detail'!I5</f>
        <v>45851</v>
      </c>
      <c r="K6" s="192">
        <f>'Weekly outflows - detail'!J5</f>
        <v>45858</v>
      </c>
      <c r="L6" s="192">
        <f>'Weekly outflows - detail'!K5</f>
        <v>45865</v>
      </c>
      <c r="M6" s="192">
        <f>'Weekly outflows - detail'!L5</f>
        <v>45872</v>
      </c>
      <c r="N6" s="192">
        <f>'Weekly outflows - detail'!M5</f>
        <v>45879</v>
      </c>
      <c r="O6" s="192">
        <f>'Weekly outflows - detail'!N5</f>
        <v>45886</v>
      </c>
      <c r="P6" s="192">
        <f>'Weekly outflows - detail'!O5</f>
        <v>45893</v>
      </c>
      <c r="Q6" s="193" t="s">
        <v>22</v>
      </c>
      <c r="R6" s="194"/>
    </row>
    <row r="7" spans="1:30" ht="15.6" x14ac:dyDescent="0.3">
      <c r="A7" s="199"/>
      <c r="B7" s="198"/>
      <c r="C7" s="138"/>
      <c r="D7" s="140"/>
      <c r="E7" s="141"/>
      <c r="F7" s="141"/>
      <c r="G7" s="141"/>
      <c r="H7" s="141"/>
      <c r="I7" s="141"/>
      <c r="J7" s="141"/>
      <c r="K7" s="141"/>
      <c r="L7" s="141"/>
      <c r="M7" s="141"/>
      <c r="N7" s="141"/>
      <c r="O7" s="141"/>
      <c r="P7" s="141"/>
      <c r="Q7" s="142"/>
      <c r="R7" s="139"/>
    </row>
    <row r="8" spans="1:30" ht="24" customHeight="1" x14ac:dyDescent="0.3">
      <c r="A8" s="200" t="s">
        <v>23</v>
      </c>
      <c r="B8" s="198"/>
      <c r="C8" s="160" t="s">
        <v>24</v>
      </c>
      <c r="D8" s="207"/>
      <c r="E8" s="208">
        <f>D34</f>
        <v>0</v>
      </c>
      <c r="F8" s="208">
        <f t="shared" ref="F8:P8" si="0">E34</f>
        <v>0</v>
      </c>
      <c r="G8" s="208">
        <f t="shared" si="0"/>
        <v>0</v>
      </c>
      <c r="H8" s="208">
        <f t="shared" si="0"/>
        <v>0</v>
      </c>
      <c r="I8" s="208">
        <f t="shared" si="0"/>
        <v>0</v>
      </c>
      <c r="J8" s="208">
        <f t="shared" si="0"/>
        <v>0</v>
      </c>
      <c r="K8" s="208">
        <f t="shared" si="0"/>
        <v>0</v>
      </c>
      <c r="L8" s="208">
        <f t="shared" si="0"/>
        <v>0</v>
      </c>
      <c r="M8" s="208">
        <f t="shared" si="0"/>
        <v>0</v>
      </c>
      <c r="N8" s="208">
        <f t="shared" si="0"/>
        <v>0</v>
      </c>
      <c r="O8" s="208">
        <f t="shared" si="0"/>
        <v>0</v>
      </c>
      <c r="P8" s="208">
        <f t="shared" si="0"/>
        <v>0</v>
      </c>
      <c r="S8" s="185" t="s">
        <v>25</v>
      </c>
    </row>
    <row r="9" spans="1:30" ht="6" customHeight="1" x14ac:dyDescent="0.3">
      <c r="A9" s="199"/>
      <c r="B9" s="198"/>
      <c r="D9" s="143"/>
      <c r="E9" s="143"/>
      <c r="F9" s="143"/>
      <c r="G9" s="143"/>
      <c r="H9" s="143"/>
      <c r="I9" s="143"/>
      <c r="J9" s="143"/>
      <c r="K9" s="143"/>
      <c r="L9" s="143"/>
      <c r="M9" s="143"/>
      <c r="N9" s="143"/>
      <c r="O9" s="143"/>
      <c r="P9" s="143"/>
      <c r="S9" s="185"/>
    </row>
    <row r="10" spans="1:30" x14ac:dyDescent="0.3">
      <c r="A10" s="199"/>
      <c r="B10" s="198"/>
      <c r="C10" s="166" t="s">
        <v>26</v>
      </c>
      <c r="D10" s="143"/>
      <c r="E10" s="143"/>
      <c r="F10" s="143"/>
      <c r="G10" s="143"/>
      <c r="H10" s="143"/>
      <c r="I10" s="143"/>
      <c r="J10" s="143"/>
      <c r="K10" s="143"/>
      <c r="L10" s="143"/>
      <c r="M10" s="143"/>
      <c r="N10" s="143"/>
      <c r="O10" s="143"/>
      <c r="P10" s="143"/>
      <c r="S10" s="185"/>
    </row>
    <row r="11" spans="1:30" x14ac:dyDescent="0.3">
      <c r="A11" s="199" t="s">
        <v>27</v>
      </c>
      <c r="B11" s="198"/>
      <c r="C11" s="1" t="s">
        <v>28</v>
      </c>
      <c r="D11" s="207"/>
      <c r="E11" s="207"/>
      <c r="F11" s="207"/>
      <c r="G11" s="207"/>
      <c r="H11" s="207"/>
      <c r="I11" s="207"/>
      <c r="J11" s="207"/>
      <c r="K11" s="207"/>
      <c r="L11" s="207"/>
      <c r="M11" s="207"/>
      <c r="N11" s="207"/>
      <c r="O11" s="207"/>
      <c r="P11" s="207"/>
      <c r="Q11" s="202"/>
      <c r="R11" s="202"/>
      <c r="S11" s="185" t="s">
        <v>29</v>
      </c>
    </row>
    <row r="12" spans="1:30" x14ac:dyDescent="0.3">
      <c r="A12" s="199" t="s">
        <v>27</v>
      </c>
      <c r="B12" s="198"/>
      <c r="C12" s="1" t="s">
        <v>30</v>
      </c>
      <c r="D12" s="207"/>
      <c r="E12" s="207"/>
      <c r="F12" s="207"/>
      <c r="G12" s="207"/>
      <c r="H12" s="207"/>
      <c r="I12" s="207"/>
      <c r="J12" s="207"/>
      <c r="K12" s="207"/>
      <c r="L12" s="207"/>
      <c r="M12" s="207"/>
      <c r="N12" s="207"/>
      <c r="O12" s="207"/>
      <c r="P12" s="207"/>
      <c r="Q12" s="202"/>
      <c r="R12" s="202"/>
      <c r="S12" s="185" t="s">
        <v>31</v>
      </c>
      <c r="AD12" s="1">
        <v>-24</v>
      </c>
    </row>
    <row r="13" spans="1:30" x14ac:dyDescent="0.3">
      <c r="A13" s="199" t="s">
        <v>27</v>
      </c>
      <c r="B13" s="198"/>
      <c r="C13" s="1" t="s">
        <v>32</v>
      </c>
      <c r="D13" s="207"/>
      <c r="E13" s="207"/>
      <c r="F13" s="207"/>
      <c r="G13" s="207"/>
      <c r="H13" s="207"/>
      <c r="I13" s="207"/>
      <c r="J13" s="207"/>
      <c r="K13" s="207"/>
      <c r="L13" s="207"/>
      <c r="M13" s="207"/>
      <c r="N13" s="207"/>
      <c r="O13" s="207"/>
      <c r="P13" s="207"/>
      <c r="Q13" s="202"/>
      <c r="R13" s="202"/>
      <c r="S13" s="185" t="s">
        <v>33</v>
      </c>
      <c r="AD13" s="1">
        <v>25</v>
      </c>
    </row>
    <row r="14" spans="1:30" x14ac:dyDescent="0.3">
      <c r="A14" s="199" t="s">
        <v>27</v>
      </c>
      <c r="B14" s="198"/>
      <c r="C14" s="1" t="s">
        <v>34</v>
      </c>
      <c r="D14" s="207"/>
      <c r="E14" s="207"/>
      <c r="F14" s="207"/>
      <c r="G14" s="207"/>
      <c r="H14" s="207"/>
      <c r="I14" s="207"/>
      <c r="J14" s="207"/>
      <c r="K14" s="207"/>
      <c r="L14" s="207"/>
      <c r="M14" s="207"/>
      <c r="N14" s="207"/>
      <c r="O14" s="207"/>
      <c r="P14" s="207"/>
      <c r="Q14" s="202"/>
      <c r="R14" s="202"/>
      <c r="S14" s="185" t="s">
        <v>35</v>
      </c>
      <c r="AD14" s="1">
        <v>4.5</v>
      </c>
    </row>
    <row r="15" spans="1:30" ht="6" customHeight="1" x14ac:dyDescent="0.3">
      <c r="A15" s="199"/>
      <c r="B15" s="198"/>
      <c r="D15" s="143"/>
      <c r="E15" s="143"/>
      <c r="F15" s="143"/>
      <c r="G15" s="143"/>
      <c r="H15" s="143"/>
      <c r="I15" s="143"/>
      <c r="J15" s="143"/>
      <c r="K15" s="143"/>
      <c r="L15" s="143"/>
      <c r="M15" s="143"/>
      <c r="N15" s="143"/>
      <c r="O15" s="143"/>
      <c r="P15" s="143"/>
    </row>
    <row r="16" spans="1:30" x14ac:dyDescent="0.3">
      <c r="A16" s="199"/>
      <c r="B16" s="198"/>
      <c r="C16" s="166" t="s">
        <v>36</v>
      </c>
      <c r="D16" s="143"/>
      <c r="E16" s="143"/>
      <c r="F16" s="143"/>
      <c r="G16" s="143"/>
      <c r="H16" s="143"/>
      <c r="I16" s="143"/>
      <c r="J16" s="143"/>
      <c r="K16" s="143"/>
      <c r="L16" s="143"/>
      <c r="M16" s="143"/>
      <c r="N16" s="143"/>
      <c r="O16" s="143"/>
      <c r="P16" s="143"/>
    </row>
    <row r="17" spans="1:19" x14ac:dyDescent="0.3">
      <c r="A17" s="199"/>
      <c r="B17" s="198"/>
      <c r="C17" s="1" t="s">
        <v>37</v>
      </c>
      <c r="D17" s="143"/>
      <c r="E17" s="143"/>
      <c r="F17" s="143"/>
      <c r="G17" s="143"/>
      <c r="H17" s="143"/>
      <c r="I17" s="143"/>
      <c r="J17" s="143"/>
      <c r="K17" s="143"/>
      <c r="L17" s="143"/>
      <c r="M17" s="143"/>
      <c r="N17" s="143"/>
      <c r="O17" s="143"/>
      <c r="P17" s="143"/>
    </row>
    <row r="18" spans="1:19" x14ac:dyDescent="0.3">
      <c r="A18" s="199" t="s">
        <v>38</v>
      </c>
      <c r="B18" s="198"/>
      <c r="C18" s="204" t="s">
        <v>39</v>
      </c>
      <c r="D18" s="208">
        <f>-VLOOKUP($C18,'Weekly outflows - detail'!$B$31:$O$43,MATCH(D$6,'Weekly outflows - detail'!$B$31:$O$31,0),FALSE)</f>
        <v>0</v>
      </c>
      <c r="E18" s="208">
        <f>-VLOOKUP($C18,'Weekly outflows - detail'!$B$31:$O$43,MATCH(E$6,'Weekly outflows - detail'!$B$31:$O$31,0),FALSE)</f>
        <v>0</v>
      </c>
      <c r="F18" s="208">
        <f>-VLOOKUP($C18,'Weekly outflows - detail'!$B$31:$O$43,MATCH(F$6,'Weekly outflows - detail'!$B$31:$O$31,0),FALSE)</f>
        <v>0</v>
      </c>
      <c r="G18" s="208">
        <f>-VLOOKUP($C18,'Weekly outflows - detail'!$B$31:$O$43,MATCH(G$6,'Weekly outflows - detail'!$B$31:$O$31,0),FALSE)</f>
        <v>0</v>
      </c>
      <c r="H18" s="208">
        <f>-VLOOKUP($C18,'Weekly outflows - detail'!$B$31:$O$43,MATCH(H$6,'Weekly outflows - detail'!$B$31:$O$31,0),FALSE)</f>
        <v>0</v>
      </c>
      <c r="I18" s="208">
        <f>-VLOOKUP($C18,'Weekly outflows - detail'!$B$31:$O$43,MATCH(I$6,'Weekly outflows - detail'!$B$31:$O$31,0),FALSE)</f>
        <v>0</v>
      </c>
      <c r="J18" s="208">
        <f>-VLOOKUP($C18,'Weekly outflows - detail'!$B$31:$O$43,MATCH(J$6,'Weekly outflows - detail'!$B$31:$O$31,0),FALSE)</f>
        <v>0</v>
      </c>
      <c r="K18" s="208">
        <f>-VLOOKUP($C18,'Weekly outflows - detail'!$B$31:$O$43,MATCH(K$6,'Weekly outflows - detail'!$B$31:$O$31,0),FALSE)</f>
        <v>0</v>
      </c>
      <c r="L18" s="208">
        <f>-VLOOKUP($C18,'Weekly outflows - detail'!$B$31:$O$43,MATCH(L$6,'Weekly outflows - detail'!$B$31:$O$31,0),FALSE)</f>
        <v>0</v>
      </c>
      <c r="M18" s="208">
        <f>-VLOOKUP($C18,'Weekly outflows - detail'!$B$31:$O$43,MATCH(M$6,'Weekly outflows - detail'!$B$31:$O$31,0),FALSE)</f>
        <v>0</v>
      </c>
      <c r="N18" s="208">
        <f>-VLOOKUP($C18,'Weekly outflows - detail'!$B$31:$O$43,MATCH(N$6,'Weekly outflows - detail'!$B$31:$O$31,0),FALSE)</f>
        <v>0</v>
      </c>
      <c r="O18" s="208">
        <f>-VLOOKUP($C18,'Weekly outflows - detail'!$B$31:$O$43,MATCH(O$6,'Weekly outflows - detail'!$B$31:$O$31,0),FALSE)</f>
        <v>0</v>
      </c>
      <c r="P18" s="208">
        <f>-VLOOKUP($C18,'Weekly outflows - detail'!$B$31:$O$43,MATCH(P$6,'Weekly outflows - detail'!$B$31:$O$31,0),FALSE)</f>
        <v>0</v>
      </c>
      <c r="Q18" s="202"/>
      <c r="R18" s="202"/>
      <c r="S18" s="185" t="s">
        <v>40</v>
      </c>
    </row>
    <row r="19" spans="1:19" x14ac:dyDescent="0.3">
      <c r="A19" s="199" t="s">
        <v>38</v>
      </c>
      <c r="B19" s="198"/>
      <c r="C19" s="204" t="s">
        <v>41</v>
      </c>
      <c r="D19" s="208">
        <f>-VLOOKUP($C19,'Weekly outflows - detail'!$B$31:$O$43,MATCH(D$6,'Weekly outflows - detail'!$B$31:$O$31,0),FALSE)</f>
        <v>0</v>
      </c>
      <c r="E19" s="208">
        <f>-VLOOKUP($C19,'Weekly outflows - detail'!$B$31:$O$43,MATCH(E$6,'Weekly outflows - detail'!$B$31:$O$31,0),FALSE)</f>
        <v>0</v>
      </c>
      <c r="F19" s="208">
        <f>-VLOOKUP($C19,'Weekly outflows - detail'!$B$31:$O$43,MATCH(F$6,'Weekly outflows - detail'!$B$31:$O$31,0),FALSE)</f>
        <v>0</v>
      </c>
      <c r="G19" s="208">
        <f>-VLOOKUP($C19,'Weekly outflows - detail'!$B$31:$O$43,MATCH(G$6,'Weekly outflows - detail'!$B$31:$O$31,0),FALSE)</f>
        <v>0</v>
      </c>
      <c r="H19" s="208">
        <f>-VLOOKUP($C19,'Weekly outflows - detail'!$B$31:$O$43,MATCH(H$6,'Weekly outflows - detail'!$B$31:$O$31,0),FALSE)</f>
        <v>0</v>
      </c>
      <c r="I19" s="208">
        <f>-VLOOKUP($C19,'Weekly outflows - detail'!$B$31:$O$43,MATCH(I$6,'Weekly outflows - detail'!$B$31:$O$31,0),FALSE)</f>
        <v>0</v>
      </c>
      <c r="J19" s="208">
        <f>-VLOOKUP($C19,'Weekly outflows - detail'!$B$31:$O$43,MATCH(J$6,'Weekly outflows - detail'!$B$31:$O$31,0),FALSE)</f>
        <v>0</v>
      </c>
      <c r="K19" s="208">
        <f>-VLOOKUP($C19,'Weekly outflows - detail'!$B$31:$O$43,MATCH(K$6,'Weekly outflows - detail'!$B$31:$O$31,0),FALSE)</f>
        <v>0</v>
      </c>
      <c r="L19" s="208">
        <f>-VLOOKUP($C19,'Weekly outflows - detail'!$B$31:$O$43,MATCH(L$6,'Weekly outflows - detail'!$B$31:$O$31,0),FALSE)</f>
        <v>0</v>
      </c>
      <c r="M19" s="208">
        <f>-VLOOKUP($C19,'Weekly outflows - detail'!$B$31:$O$43,MATCH(M$6,'Weekly outflows - detail'!$B$31:$O$31,0),FALSE)</f>
        <v>0</v>
      </c>
      <c r="N19" s="208">
        <f>-VLOOKUP($C19,'Weekly outflows - detail'!$B$31:$O$43,MATCH(N$6,'Weekly outflows - detail'!$B$31:$O$31,0),FALSE)</f>
        <v>0</v>
      </c>
      <c r="O19" s="208">
        <f>-VLOOKUP($C19,'Weekly outflows - detail'!$B$31:$O$43,MATCH(O$6,'Weekly outflows - detail'!$B$31:$O$31,0),FALSE)</f>
        <v>0</v>
      </c>
      <c r="P19" s="208">
        <f>-VLOOKUP($C19,'Weekly outflows - detail'!$B$31:$O$43,MATCH(P$6,'Weekly outflows - detail'!$B$31:$O$31,0),FALSE)</f>
        <v>0</v>
      </c>
      <c r="Q19" s="203"/>
      <c r="R19" s="203"/>
    </row>
    <row r="20" spans="1:19" x14ac:dyDescent="0.3">
      <c r="A20" s="199" t="s">
        <v>38</v>
      </c>
      <c r="B20" s="198"/>
      <c r="C20" s="204" t="s">
        <v>42</v>
      </c>
      <c r="D20" s="208">
        <f>-VLOOKUP($C20,'Weekly outflows - detail'!$B$31:$O$43,MATCH(D$6,'Weekly outflows - detail'!$B$31:$O$31,0),FALSE)</f>
        <v>0</v>
      </c>
      <c r="E20" s="208">
        <f>-VLOOKUP($C20,'Weekly outflows - detail'!$B$31:$O$43,MATCH(E$6,'Weekly outflows - detail'!$B$31:$O$31,0),FALSE)</f>
        <v>0</v>
      </c>
      <c r="F20" s="208">
        <f>-VLOOKUP($C20,'Weekly outflows - detail'!$B$31:$O$43,MATCH(F$6,'Weekly outflows - detail'!$B$31:$O$31,0),FALSE)</f>
        <v>0</v>
      </c>
      <c r="G20" s="208">
        <f>-VLOOKUP($C20,'Weekly outflows - detail'!$B$31:$O$43,MATCH(G$6,'Weekly outflows - detail'!$B$31:$O$31,0),FALSE)</f>
        <v>0</v>
      </c>
      <c r="H20" s="208">
        <f>-VLOOKUP($C20,'Weekly outflows - detail'!$B$31:$O$43,MATCH(H$6,'Weekly outflows - detail'!$B$31:$O$31,0),FALSE)</f>
        <v>0</v>
      </c>
      <c r="I20" s="208">
        <f>-VLOOKUP($C20,'Weekly outflows - detail'!$B$31:$O$43,MATCH(I$6,'Weekly outflows - detail'!$B$31:$O$31,0),FALSE)</f>
        <v>0</v>
      </c>
      <c r="J20" s="208">
        <f>-VLOOKUP($C20,'Weekly outflows - detail'!$B$31:$O$43,MATCH(J$6,'Weekly outflows - detail'!$B$31:$O$31,0),FALSE)</f>
        <v>0</v>
      </c>
      <c r="K20" s="208">
        <f>-VLOOKUP($C20,'Weekly outflows - detail'!$B$31:$O$43,MATCH(K$6,'Weekly outflows - detail'!$B$31:$O$31,0),FALSE)</f>
        <v>0</v>
      </c>
      <c r="L20" s="208">
        <f>-VLOOKUP($C20,'Weekly outflows - detail'!$B$31:$O$43,MATCH(L$6,'Weekly outflows - detail'!$B$31:$O$31,0),FALSE)</f>
        <v>0</v>
      </c>
      <c r="M20" s="208">
        <f>-VLOOKUP($C20,'Weekly outflows - detail'!$B$31:$O$43,MATCH(M$6,'Weekly outflows - detail'!$B$31:$O$31,0),FALSE)</f>
        <v>0</v>
      </c>
      <c r="N20" s="208">
        <f>-VLOOKUP($C20,'Weekly outflows - detail'!$B$31:$O$43,MATCH(N$6,'Weekly outflows - detail'!$B$31:$O$31,0),FALSE)</f>
        <v>0</v>
      </c>
      <c r="O20" s="208">
        <f>-VLOOKUP($C20,'Weekly outflows - detail'!$B$31:$O$43,MATCH(O$6,'Weekly outflows - detail'!$B$31:$O$31,0),FALSE)</f>
        <v>0</v>
      </c>
      <c r="P20" s="208">
        <f>-VLOOKUP($C20,'Weekly outflows - detail'!$B$31:$O$43,MATCH(P$6,'Weekly outflows - detail'!$B$31:$O$31,0),FALSE)</f>
        <v>0</v>
      </c>
      <c r="Q20" s="203"/>
      <c r="R20" s="203"/>
    </row>
    <row r="21" spans="1:19" x14ac:dyDescent="0.3">
      <c r="A21" s="199" t="s">
        <v>38</v>
      </c>
      <c r="B21" s="198"/>
      <c r="C21" s="204" t="s">
        <v>43</v>
      </c>
      <c r="D21" s="208">
        <f>-VLOOKUP($C21,'Weekly outflows - detail'!$B$31:$O$43,MATCH(D$6,'Weekly outflows - detail'!$B$31:$O$31,0),FALSE)</f>
        <v>0</v>
      </c>
      <c r="E21" s="208">
        <f>-VLOOKUP($C21,'Weekly outflows - detail'!$B$31:$O$43,MATCH(E$6,'Weekly outflows - detail'!$B$31:$O$31,0),FALSE)</f>
        <v>0</v>
      </c>
      <c r="F21" s="208">
        <f>-VLOOKUP($C21,'Weekly outflows - detail'!$B$31:$O$43,MATCH(F$6,'Weekly outflows - detail'!$B$31:$O$31,0),FALSE)</f>
        <v>0</v>
      </c>
      <c r="G21" s="208">
        <f>-VLOOKUP($C21,'Weekly outflows - detail'!$B$31:$O$43,MATCH(G$6,'Weekly outflows - detail'!$B$31:$O$31,0),FALSE)</f>
        <v>0</v>
      </c>
      <c r="H21" s="208">
        <f>-VLOOKUP($C21,'Weekly outflows - detail'!$B$31:$O$43,MATCH(H$6,'Weekly outflows - detail'!$B$31:$O$31,0),FALSE)</f>
        <v>0</v>
      </c>
      <c r="I21" s="208">
        <f>-VLOOKUP($C21,'Weekly outflows - detail'!$B$31:$O$43,MATCH(I$6,'Weekly outflows - detail'!$B$31:$O$31,0),FALSE)</f>
        <v>0</v>
      </c>
      <c r="J21" s="208">
        <f>-VLOOKUP($C21,'Weekly outflows - detail'!$B$31:$O$43,MATCH(J$6,'Weekly outflows - detail'!$B$31:$O$31,0),FALSE)</f>
        <v>0</v>
      </c>
      <c r="K21" s="208">
        <f>-VLOOKUP($C21,'Weekly outflows - detail'!$B$31:$O$43,MATCH(K$6,'Weekly outflows - detail'!$B$31:$O$31,0),FALSE)</f>
        <v>0</v>
      </c>
      <c r="L21" s="208">
        <f>-VLOOKUP($C21,'Weekly outflows - detail'!$B$31:$O$43,MATCH(L$6,'Weekly outflows - detail'!$B$31:$O$31,0),FALSE)</f>
        <v>0</v>
      </c>
      <c r="M21" s="208">
        <f>-VLOOKUP($C21,'Weekly outflows - detail'!$B$31:$O$43,MATCH(M$6,'Weekly outflows - detail'!$B$31:$O$31,0),FALSE)</f>
        <v>0</v>
      </c>
      <c r="N21" s="208">
        <f>-VLOOKUP($C21,'Weekly outflows - detail'!$B$31:$O$43,MATCH(N$6,'Weekly outflows - detail'!$B$31:$O$31,0),FALSE)</f>
        <v>0</v>
      </c>
      <c r="O21" s="208">
        <f>-VLOOKUP($C21,'Weekly outflows - detail'!$B$31:$O$43,MATCH(O$6,'Weekly outflows - detail'!$B$31:$O$31,0),FALSE)</f>
        <v>0</v>
      </c>
      <c r="P21" s="208">
        <f>-VLOOKUP($C21,'Weekly outflows - detail'!$B$31:$O$43,MATCH(P$6,'Weekly outflows - detail'!$B$31:$O$31,0),FALSE)</f>
        <v>0</v>
      </c>
      <c r="Q21" s="203"/>
      <c r="R21" s="203"/>
    </row>
    <row r="22" spans="1:19" x14ac:dyDescent="0.3">
      <c r="A22" s="199" t="s">
        <v>38</v>
      </c>
      <c r="B22" s="198"/>
      <c r="C22" s="204" t="s">
        <v>44</v>
      </c>
      <c r="D22" s="208">
        <f>-VLOOKUP($C22,'Weekly outflows - detail'!$B$31:$O$43,MATCH(D$6,'Weekly outflows - detail'!$B$31:$O$31,0),FALSE)</f>
        <v>0</v>
      </c>
      <c r="E22" s="208">
        <f>-VLOOKUP($C22,'Weekly outflows - detail'!$B$31:$O$43,MATCH(E$6,'Weekly outflows - detail'!$B$31:$O$31,0),FALSE)</f>
        <v>0</v>
      </c>
      <c r="F22" s="208">
        <f>-VLOOKUP($C22,'Weekly outflows - detail'!$B$31:$O$43,MATCH(F$6,'Weekly outflows - detail'!$B$31:$O$31,0),FALSE)</f>
        <v>0</v>
      </c>
      <c r="G22" s="208">
        <f>-VLOOKUP($C22,'Weekly outflows - detail'!$B$31:$O$43,MATCH(G$6,'Weekly outflows - detail'!$B$31:$O$31,0),FALSE)</f>
        <v>0</v>
      </c>
      <c r="H22" s="208">
        <f>-VLOOKUP($C22,'Weekly outflows - detail'!$B$31:$O$43,MATCH(H$6,'Weekly outflows - detail'!$B$31:$O$31,0),FALSE)</f>
        <v>0</v>
      </c>
      <c r="I22" s="208">
        <f>-VLOOKUP($C22,'Weekly outflows - detail'!$B$31:$O$43,MATCH(I$6,'Weekly outflows - detail'!$B$31:$O$31,0),FALSE)</f>
        <v>0</v>
      </c>
      <c r="J22" s="208">
        <f>-VLOOKUP($C22,'Weekly outflows - detail'!$B$31:$O$43,MATCH(J$6,'Weekly outflows - detail'!$B$31:$O$31,0),FALSE)</f>
        <v>0</v>
      </c>
      <c r="K22" s="208">
        <f>-VLOOKUP($C22,'Weekly outflows - detail'!$B$31:$O$43,MATCH(K$6,'Weekly outflows - detail'!$B$31:$O$31,0),FALSE)</f>
        <v>0</v>
      </c>
      <c r="L22" s="208">
        <f>-VLOOKUP($C22,'Weekly outflows - detail'!$B$31:$O$43,MATCH(L$6,'Weekly outflows - detail'!$B$31:$O$31,0),FALSE)</f>
        <v>0</v>
      </c>
      <c r="M22" s="208">
        <f>-VLOOKUP($C22,'Weekly outflows - detail'!$B$31:$O$43,MATCH(M$6,'Weekly outflows - detail'!$B$31:$O$31,0),FALSE)</f>
        <v>0</v>
      </c>
      <c r="N22" s="208">
        <f>-VLOOKUP($C22,'Weekly outflows - detail'!$B$31:$O$43,MATCH(N$6,'Weekly outflows - detail'!$B$31:$O$31,0),FALSE)</f>
        <v>0</v>
      </c>
      <c r="O22" s="208">
        <f>-VLOOKUP($C22,'Weekly outflows - detail'!$B$31:$O$43,MATCH(O$6,'Weekly outflows - detail'!$B$31:$O$31,0),FALSE)</f>
        <v>0</v>
      </c>
      <c r="P22" s="208">
        <f>-VLOOKUP($C22,'Weekly outflows - detail'!$B$31:$O$43,MATCH(P$6,'Weekly outflows - detail'!$B$31:$O$31,0),FALSE)</f>
        <v>0</v>
      </c>
      <c r="Q22" s="203"/>
      <c r="R22" s="203"/>
    </row>
    <row r="23" spans="1:19" x14ac:dyDescent="0.3">
      <c r="A23" s="199" t="s">
        <v>38</v>
      </c>
      <c r="B23" s="198"/>
      <c r="C23" s="204" t="s">
        <v>45</v>
      </c>
      <c r="D23" s="208">
        <f>-VLOOKUP($C23,'Weekly outflows - detail'!$B$31:$O$43,MATCH(D$6,'Weekly outflows - detail'!$B$31:$O$31,0),FALSE)</f>
        <v>0</v>
      </c>
      <c r="E23" s="208">
        <f>-VLOOKUP($C23,'Weekly outflows - detail'!$B$31:$O$43,MATCH(E$6,'Weekly outflows - detail'!$B$31:$O$31,0),FALSE)</f>
        <v>0</v>
      </c>
      <c r="F23" s="208">
        <f>-VLOOKUP($C23,'Weekly outflows - detail'!$B$31:$O$43,MATCH(F$6,'Weekly outflows - detail'!$B$31:$O$31,0),FALSE)</f>
        <v>0</v>
      </c>
      <c r="G23" s="208">
        <f>-VLOOKUP($C23,'Weekly outflows - detail'!$B$31:$O$43,MATCH(G$6,'Weekly outflows - detail'!$B$31:$O$31,0),FALSE)</f>
        <v>0</v>
      </c>
      <c r="H23" s="208">
        <f>-VLOOKUP($C23,'Weekly outflows - detail'!$B$31:$O$43,MATCH(H$6,'Weekly outflows - detail'!$B$31:$O$31,0),FALSE)</f>
        <v>0</v>
      </c>
      <c r="I23" s="208">
        <f>-VLOOKUP($C23,'Weekly outflows - detail'!$B$31:$O$43,MATCH(I$6,'Weekly outflows - detail'!$B$31:$O$31,0),FALSE)</f>
        <v>0</v>
      </c>
      <c r="J23" s="208">
        <f>-VLOOKUP($C23,'Weekly outflows - detail'!$B$31:$O$43,MATCH(J$6,'Weekly outflows - detail'!$B$31:$O$31,0),FALSE)</f>
        <v>0</v>
      </c>
      <c r="K23" s="208">
        <f>-VLOOKUP($C23,'Weekly outflows - detail'!$B$31:$O$43,MATCH(K$6,'Weekly outflows - detail'!$B$31:$O$31,0),FALSE)</f>
        <v>0</v>
      </c>
      <c r="L23" s="208">
        <f>-VLOOKUP($C23,'Weekly outflows - detail'!$B$31:$O$43,MATCH(L$6,'Weekly outflows - detail'!$B$31:$O$31,0),FALSE)</f>
        <v>0</v>
      </c>
      <c r="M23" s="208">
        <f>-VLOOKUP($C23,'Weekly outflows - detail'!$B$31:$O$43,MATCH(M$6,'Weekly outflows - detail'!$B$31:$O$31,0),FALSE)</f>
        <v>0</v>
      </c>
      <c r="N23" s="208">
        <f>-VLOOKUP($C23,'Weekly outflows - detail'!$B$31:$O$43,MATCH(N$6,'Weekly outflows - detail'!$B$31:$O$31,0),FALSE)</f>
        <v>0</v>
      </c>
      <c r="O23" s="208">
        <f>-VLOOKUP($C23,'Weekly outflows - detail'!$B$31:$O$43,MATCH(O$6,'Weekly outflows - detail'!$B$31:$O$31,0),FALSE)</f>
        <v>0</v>
      </c>
      <c r="P23" s="208">
        <f>-VLOOKUP($C23,'Weekly outflows - detail'!$B$31:$O$43,MATCH(P$6,'Weekly outflows - detail'!$B$31:$O$31,0),FALSE)</f>
        <v>0</v>
      </c>
      <c r="Q23" s="203"/>
      <c r="R23" s="203"/>
    </row>
    <row r="24" spans="1:19" x14ac:dyDescent="0.3">
      <c r="A24" s="199"/>
      <c r="B24" s="198"/>
      <c r="C24" s="204" t="s">
        <v>46</v>
      </c>
      <c r="D24" s="208">
        <f>-VLOOKUP($C24,'Weekly outflows - detail'!$B$31:$O$43,MATCH(D$6,'Weekly outflows - detail'!$B$31:$O$31,0),FALSE)</f>
        <v>0</v>
      </c>
      <c r="E24" s="208">
        <f>-VLOOKUP($C24,'Weekly outflows - detail'!$B$31:$O$43,MATCH(E$6,'Weekly outflows - detail'!$B$31:$O$31,0),FALSE)</f>
        <v>0</v>
      </c>
      <c r="F24" s="208">
        <f>-VLOOKUP($C24,'Weekly outflows - detail'!$B$31:$O$43,MATCH(F$6,'Weekly outflows - detail'!$B$31:$O$31,0),FALSE)</f>
        <v>0</v>
      </c>
      <c r="G24" s="208">
        <f>-VLOOKUP($C24,'Weekly outflows - detail'!$B$31:$O$43,MATCH(G$6,'Weekly outflows - detail'!$B$31:$O$31,0),FALSE)</f>
        <v>0</v>
      </c>
      <c r="H24" s="208">
        <f>-VLOOKUP($C24,'Weekly outflows - detail'!$B$31:$O$43,MATCH(H$6,'Weekly outflows - detail'!$B$31:$O$31,0),FALSE)</f>
        <v>0</v>
      </c>
      <c r="I24" s="208">
        <f>-VLOOKUP($C24,'Weekly outflows - detail'!$B$31:$O$43,MATCH(I$6,'Weekly outflows - detail'!$B$31:$O$31,0),FALSE)</f>
        <v>0</v>
      </c>
      <c r="J24" s="208">
        <f>-VLOOKUP($C24,'Weekly outflows - detail'!$B$31:$O$43,MATCH(J$6,'Weekly outflows - detail'!$B$31:$O$31,0),FALSE)</f>
        <v>0</v>
      </c>
      <c r="K24" s="208">
        <f>-VLOOKUP($C24,'Weekly outflows - detail'!$B$31:$O$43,MATCH(K$6,'Weekly outflows - detail'!$B$31:$O$31,0),FALSE)</f>
        <v>0</v>
      </c>
      <c r="L24" s="208">
        <f>-VLOOKUP($C24,'Weekly outflows - detail'!$B$31:$O$43,MATCH(L$6,'Weekly outflows - detail'!$B$31:$O$31,0),FALSE)</f>
        <v>0</v>
      </c>
      <c r="M24" s="208">
        <f>-VLOOKUP($C24,'Weekly outflows - detail'!$B$31:$O$43,MATCH(M$6,'Weekly outflows - detail'!$B$31:$O$31,0),FALSE)</f>
        <v>0</v>
      </c>
      <c r="N24" s="208">
        <f>-VLOOKUP($C24,'Weekly outflows - detail'!$B$31:$O$43,MATCH(N$6,'Weekly outflows - detail'!$B$31:$O$31,0),FALSE)</f>
        <v>0</v>
      </c>
      <c r="O24" s="208">
        <f>-VLOOKUP($C24,'Weekly outflows - detail'!$B$31:$O$43,MATCH(O$6,'Weekly outflows - detail'!$B$31:$O$31,0),FALSE)</f>
        <v>0</v>
      </c>
      <c r="P24" s="208">
        <f>-VLOOKUP($C24,'Weekly outflows - detail'!$B$31:$O$43,MATCH(P$6,'Weekly outflows - detail'!$B$31:$O$31,0),FALSE)</f>
        <v>0</v>
      </c>
      <c r="Q24" s="203"/>
      <c r="R24" s="203"/>
    </row>
    <row r="25" spans="1:19" x14ac:dyDescent="0.3">
      <c r="A25" s="199" t="s">
        <v>38</v>
      </c>
      <c r="B25" s="198"/>
      <c r="C25" s="204" t="s">
        <v>47</v>
      </c>
      <c r="D25" s="208">
        <f>-VLOOKUP($C25,'Weekly outflows - detail'!$B$31:$O$43,MATCH(D$6,'Weekly outflows - detail'!$B$31:$O$31,0),FALSE)</f>
        <v>0</v>
      </c>
      <c r="E25" s="208">
        <f>-VLOOKUP($C25,'Weekly outflows - detail'!$B$31:$O$43,MATCH(E$6,'Weekly outflows - detail'!$B$31:$O$31,0),FALSE)</f>
        <v>0</v>
      </c>
      <c r="F25" s="208">
        <f>-VLOOKUP($C25,'Weekly outflows - detail'!$B$31:$O$43,MATCH(F$6,'Weekly outflows - detail'!$B$31:$O$31,0),FALSE)</f>
        <v>0</v>
      </c>
      <c r="G25" s="208">
        <f>-VLOOKUP($C25,'Weekly outflows - detail'!$B$31:$O$43,MATCH(G$6,'Weekly outflows - detail'!$B$31:$O$31,0),FALSE)</f>
        <v>0</v>
      </c>
      <c r="H25" s="208">
        <f>-VLOOKUP($C25,'Weekly outflows - detail'!$B$31:$O$43,MATCH(H$6,'Weekly outflows - detail'!$B$31:$O$31,0),FALSE)</f>
        <v>0</v>
      </c>
      <c r="I25" s="208">
        <f>-VLOOKUP($C25,'Weekly outflows - detail'!$B$31:$O$43,MATCH(I$6,'Weekly outflows - detail'!$B$31:$O$31,0),FALSE)</f>
        <v>0</v>
      </c>
      <c r="J25" s="208">
        <f>-VLOOKUP($C25,'Weekly outflows - detail'!$B$31:$O$43,MATCH(J$6,'Weekly outflows - detail'!$B$31:$O$31,0),FALSE)</f>
        <v>0</v>
      </c>
      <c r="K25" s="208">
        <f>-VLOOKUP($C25,'Weekly outflows - detail'!$B$31:$O$43,MATCH(K$6,'Weekly outflows - detail'!$B$31:$O$31,0),FALSE)</f>
        <v>0</v>
      </c>
      <c r="L25" s="208">
        <f>-VLOOKUP($C25,'Weekly outflows - detail'!$B$31:$O$43,MATCH(L$6,'Weekly outflows - detail'!$B$31:$O$31,0),FALSE)</f>
        <v>0</v>
      </c>
      <c r="M25" s="208">
        <f>-VLOOKUP($C25,'Weekly outflows - detail'!$B$31:$O$43,MATCH(M$6,'Weekly outflows - detail'!$B$31:$O$31,0),FALSE)</f>
        <v>0</v>
      </c>
      <c r="N25" s="208">
        <f>-VLOOKUP($C25,'Weekly outflows - detail'!$B$31:$O$43,MATCH(N$6,'Weekly outflows - detail'!$B$31:$O$31,0),FALSE)</f>
        <v>0</v>
      </c>
      <c r="O25" s="208">
        <f>-VLOOKUP($C25,'Weekly outflows - detail'!$B$31:$O$43,MATCH(O$6,'Weekly outflows - detail'!$B$31:$O$31,0),FALSE)</f>
        <v>0</v>
      </c>
      <c r="P25" s="208">
        <f>-VLOOKUP($C25,'Weekly outflows - detail'!$B$31:$O$43,MATCH(P$6,'Weekly outflows - detail'!$B$31:$O$31,0),FALSE)</f>
        <v>0</v>
      </c>
      <c r="Q25" s="203"/>
      <c r="R25" s="203"/>
    </row>
    <row r="26" spans="1:19" x14ac:dyDescent="0.3">
      <c r="A26" s="199"/>
      <c r="B26" s="198"/>
      <c r="C26" s="205" t="s">
        <v>48</v>
      </c>
      <c r="D26" s="209">
        <f t="shared" ref="D26:P26" si="1">SUM(D18:D25)</f>
        <v>0</v>
      </c>
      <c r="E26" s="210">
        <f t="shared" si="1"/>
        <v>0</v>
      </c>
      <c r="F26" s="210">
        <f t="shared" si="1"/>
        <v>0</v>
      </c>
      <c r="G26" s="210">
        <f t="shared" si="1"/>
        <v>0</v>
      </c>
      <c r="H26" s="210">
        <f t="shared" si="1"/>
        <v>0</v>
      </c>
      <c r="I26" s="210">
        <f t="shared" si="1"/>
        <v>0</v>
      </c>
      <c r="J26" s="210">
        <f t="shared" si="1"/>
        <v>0</v>
      </c>
      <c r="K26" s="210">
        <f t="shared" si="1"/>
        <v>0</v>
      </c>
      <c r="L26" s="210">
        <f t="shared" si="1"/>
        <v>0</v>
      </c>
      <c r="M26" s="210">
        <f t="shared" si="1"/>
        <v>0</v>
      </c>
      <c r="N26" s="210">
        <f t="shared" si="1"/>
        <v>0</v>
      </c>
      <c r="O26" s="210">
        <f t="shared" si="1"/>
        <v>0</v>
      </c>
      <c r="P26" s="210">
        <f t="shared" si="1"/>
        <v>0</v>
      </c>
      <c r="Q26" s="203"/>
      <c r="R26" s="203"/>
    </row>
    <row r="27" spans="1:19" x14ac:dyDescent="0.3">
      <c r="A27" s="199"/>
      <c r="B27" s="198"/>
      <c r="C27" s="79" t="s">
        <v>49</v>
      </c>
      <c r="D27" s="211"/>
      <c r="E27" s="211"/>
      <c r="F27" s="211"/>
      <c r="G27" s="211"/>
      <c r="H27" s="211"/>
      <c r="I27" s="211"/>
      <c r="J27" s="211"/>
      <c r="K27" s="211"/>
      <c r="L27" s="211"/>
      <c r="M27" s="211"/>
      <c r="N27" s="211"/>
      <c r="O27" s="211"/>
      <c r="P27" s="211"/>
    </row>
    <row r="28" spans="1:19" x14ac:dyDescent="0.3">
      <c r="A28" s="199" t="s">
        <v>38</v>
      </c>
      <c r="B28" s="198"/>
      <c r="C28" s="204" t="s">
        <v>50</v>
      </c>
      <c r="D28" s="208">
        <f>-VLOOKUP($C28,'Weekly outflows - detail'!$B$31:$O$43,MATCH(D$6,'Weekly outflows - detail'!$B$31:$O$31,0),FALSE)</f>
        <v>0</v>
      </c>
      <c r="E28" s="208">
        <f>-VLOOKUP($C28,'Weekly outflows - detail'!$B$31:$O$43,MATCH(E$6,'Weekly outflows - detail'!$B$31:$O$31,0),FALSE)</f>
        <v>0</v>
      </c>
      <c r="F28" s="208">
        <f>-VLOOKUP($C28,'Weekly outflows - detail'!$B$31:$O$43,MATCH(F$6,'Weekly outflows - detail'!$B$31:$O$31,0),FALSE)</f>
        <v>0</v>
      </c>
      <c r="G28" s="208">
        <f>-VLOOKUP($C28,'Weekly outflows - detail'!$B$31:$O$43,MATCH(G$6,'Weekly outflows - detail'!$B$31:$O$31,0),FALSE)</f>
        <v>0</v>
      </c>
      <c r="H28" s="208">
        <f>-VLOOKUP($C28,'Weekly outflows - detail'!$B$31:$O$43,MATCH(H$6,'Weekly outflows - detail'!$B$31:$O$31,0),FALSE)</f>
        <v>0</v>
      </c>
      <c r="I28" s="208">
        <f>-VLOOKUP($C28,'Weekly outflows - detail'!$B$31:$O$43,MATCH(I$6,'Weekly outflows - detail'!$B$31:$O$31,0),FALSE)</f>
        <v>0</v>
      </c>
      <c r="J28" s="208">
        <f>-VLOOKUP($C28,'Weekly outflows - detail'!$B$31:$O$43,MATCH(J$6,'Weekly outflows - detail'!$B$31:$O$31,0),FALSE)</f>
        <v>0</v>
      </c>
      <c r="K28" s="208">
        <f>-VLOOKUP($C28,'Weekly outflows - detail'!$B$31:$O$43,MATCH(K$6,'Weekly outflows - detail'!$B$31:$O$31,0),FALSE)</f>
        <v>0</v>
      </c>
      <c r="L28" s="208">
        <f>-VLOOKUP($C28,'Weekly outflows - detail'!$B$31:$O$43,MATCH(L$6,'Weekly outflows - detail'!$B$31:$O$31,0),FALSE)</f>
        <v>0</v>
      </c>
      <c r="M28" s="208">
        <f>-VLOOKUP($C28,'Weekly outflows - detail'!$B$31:$O$43,MATCH(M$6,'Weekly outflows - detail'!$B$31:$O$31,0),FALSE)</f>
        <v>0</v>
      </c>
      <c r="N28" s="208">
        <f>-VLOOKUP($C28,'Weekly outflows - detail'!$B$31:$O$43,MATCH(N$6,'Weekly outflows - detail'!$B$31:$O$31,0),FALSE)</f>
        <v>0</v>
      </c>
      <c r="O28" s="208">
        <f>-VLOOKUP($C28,'Weekly outflows - detail'!$B$31:$O$43,MATCH(O$6,'Weekly outflows - detail'!$B$31:$O$31,0),FALSE)</f>
        <v>0</v>
      </c>
      <c r="P28" s="208">
        <f>-VLOOKUP($C28,'Weekly outflows - detail'!$B$31:$O$43,MATCH(P$6,'Weekly outflows - detail'!$B$31:$O$31,0),FALSE)</f>
        <v>0</v>
      </c>
      <c r="Q28" s="202"/>
      <c r="R28" s="202"/>
    </row>
    <row r="29" spans="1:19" x14ac:dyDescent="0.3">
      <c r="A29" s="199" t="s">
        <v>38</v>
      </c>
      <c r="B29" s="198"/>
      <c r="C29" s="204" t="s">
        <v>51</v>
      </c>
      <c r="D29" s="208">
        <f>-VLOOKUP($C29,'Weekly outflows - detail'!$B$31:$O$43,MATCH(D$6,'Weekly outflows - detail'!$B$31:$O$31,0),FALSE)</f>
        <v>0</v>
      </c>
      <c r="E29" s="208">
        <f>-VLOOKUP($C29,'Weekly outflows - detail'!$B$31:$O$43,MATCH(E$6,'Weekly outflows - detail'!$B$31:$O$31,0),FALSE)</f>
        <v>0</v>
      </c>
      <c r="F29" s="208">
        <f>-VLOOKUP($C29,'Weekly outflows - detail'!$B$31:$O$43,MATCH(F$6,'Weekly outflows - detail'!$B$31:$O$31,0),FALSE)</f>
        <v>0</v>
      </c>
      <c r="G29" s="208">
        <f>-VLOOKUP($C29,'Weekly outflows - detail'!$B$31:$O$43,MATCH(G$6,'Weekly outflows - detail'!$B$31:$O$31,0),FALSE)</f>
        <v>0</v>
      </c>
      <c r="H29" s="208">
        <f>-VLOOKUP($C29,'Weekly outflows - detail'!$B$31:$O$43,MATCH(H$6,'Weekly outflows - detail'!$B$31:$O$31,0),FALSE)</f>
        <v>0</v>
      </c>
      <c r="I29" s="208">
        <f>-VLOOKUP($C29,'Weekly outflows - detail'!$B$31:$O$43,MATCH(I$6,'Weekly outflows - detail'!$B$31:$O$31,0),FALSE)</f>
        <v>0</v>
      </c>
      <c r="J29" s="208">
        <f>-VLOOKUP($C29,'Weekly outflows - detail'!$B$31:$O$43,MATCH(J$6,'Weekly outflows - detail'!$B$31:$O$31,0),FALSE)</f>
        <v>0</v>
      </c>
      <c r="K29" s="208">
        <f>-VLOOKUP($C29,'Weekly outflows - detail'!$B$31:$O$43,MATCH(K$6,'Weekly outflows - detail'!$B$31:$O$31,0),FALSE)</f>
        <v>0</v>
      </c>
      <c r="L29" s="208">
        <f>-VLOOKUP($C29,'Weekly outflows - detail'!$B$31:$O$43,MATCH(L$6,'Weekly outflows - detail'!$B$31:$O$31,0),FALSE)</f>
        <v>0</v>
      </c>
      <c r="M29" s="208">
        <f>-VLOOKUP($C29,'Weekly outflows - detail'!$B$31:$O$43,MATCH(M$6,'Weekly outflows - detail'!$B$31:$O$31,0),FALSE)</f>
        <v>0</v>
      </c>
      <c r="N29" s="208">
        <f>-VLOOKUP($C29,'Weekly outflows - detail'!$B$31:$O$43,MATCH(N$6,'Weekly outflows - detail'!$B$31:$O$31,0),FALSE)</f>
        <v>0</v>
      </c>
      <c r="O29" s="208">
        <f>-VLOOKUP($C29,'Weekly outflows - detail'!$B$31:$O$43,MATCH(O$6,'Weekly outflows - detail'!$B$31:$O$31,0),FALSE)</f>
        <v>0</v>
      </c>
      <c r="P29" s="208">
        <f>-VLOOKUP($C29,'Weekly outflows - detail'!$B$31:$O$43,MATCH(P$6,'Weekly outflows - detail'!$B$31:$O$31,0),FALSE)</f>
        <v>0</v>
      </c>
      <c r="Q29" s="202"/>
      <c r="R29" s="202"/>
    </row>
    <row r="30" spans="1:19" x14ac:dyDescent="0.3">
      <c r="A30" s="199" t="s">
        <v>38</v>
      </c>
      <c r="B30" s="198"/>
      <c r="C30" s="204" t="s">
        <v>52</v>
      </c>
      <c r="D30" s="208">
        <f>-VLOOKUP($C30,'Weekly outflows - detail'!$B$31:$O$43,MATCH(D$6,'Weekly outflows - detail'!$B$31:$O$31,0),FALSE)</f>
        <v>0</v>
      </c>
      <c r="E30" s="208">
        <f>-VLOOKUP($C30,'Weekly outflows - detail'!$B$31:$O$43,MATCH(E$6,'Weekly outflows - detail'!$B$31:$O$31,0),FALSE)</f>
        <v>0</v>
      </c>
      <c r="F30" s="208">
        <f>-VLOOKUP($C30,'Weekly outflows - detail'!$B$31:$O$43,MATCH(F$6,'Weekly outflows - detail'!$B$31:$O$31,0),FALSE)</f>
        <v>0</v>
      </c>
      <c r="G30" s="208">
        <f>-VLOOKUP($C30,'Weekly outflows - detail'!$B$31:$O$43,MATCH(G$6,'Weekly outflows - detail'!$B$31:$O$31,0),FALSE)</f>
        <v>0</v>
      </c>
      <c r="H30" s="208">
        <f>-VLOOKUP($C30,'Weekly outflows - detail'!$B$31:$O$43,MATCH(H$6,'Weekly outflows - detail'!$B$31:$O$31,0),FALSE)</f>
        <v>0</v>
      </c>
      <c r="I30" s="208">
        <f>-VLOOKUP($C30,'Weekly outflows - detail'!$B$31:$O$43,MATCH(I$6,'Weekly outflows - detail'!$B$31:$O$31,0),FALSE)</f>
        <v>0</v>
      </c>
      <c r="J30" s="208">
        <f>-VLOOKUP($C30,'Weekly outflows - detail'!$B$31:$O$43,MATCH(J$6,'Weekly outflows - detail'!$B$31:$O$31,0),FALSE)</f>
        <v>0</v>
      </c>
      <c r="K30" s="208">
        <f>-VLOOKUP($C30,'Weekly outflows - detail'!$B$31:$O$43,MATCH(K$6,'Weekly outflows - detail'!$B$31:$O$31,0),FALSE)</f>
        <v>0</v>
      </c>
      <c r="L30" s="208">
        <f>-VLOOKUP($C30,'Weekly outflows - detail'!$B$31:$O$43,MATCH(L$6,'Weekly outflows - detail'!$B$31:$O$31,0),FALSE)</f>
        <v>0</v>
      </c>
      <c r="M30" s="208">
        <f>-VLOOKUP($C30,'Weekly outflows - detail'!$B$31:$O$43,MATCH(M$6,'Weekly outflows - detail'!$B$31:$O$31,0),FALSE)</f>
        <v>0</v>
      </c>
      <c r="N30" s="208">
        <f>-VLOOKUP($C30,'Weekly outflows - detail'!$B$31:$O$43,MATCH(N$6,'Weekly outflows - detail'!$B$31:$O$31,0),FALSE)</f>
        <v>0</v>
      </c>
      <c r="O30" s="208">
        <f>-VLOOKUP($C30,'Weekly outflows - detail'!$B$31:$O$43,MATCH(O$6,'Weekly outflows - detail'!$B$31:$O$31,0),FALSE)</f>
        <v>0</v>
      </c>
      <c r="P30" s="208">
        <f>-VLOOKUP($C30,'Weekly outflows - detail'!$B$31:$O$43,MATCH(P$6,'Weekly outflows - detail'!$B$31:$O$31,0),FALSE)</f>
        <v>0</v>
      </c>
      <c r="Q30" s="202"/>
      <c r="R30" s="202"/>
    </row>
    <row r="31" spans="1:19" x14ac:dyDescent="0.3">
      <c r="A31" s="199" t="s">
        <v>38</v>
      </c>
      <c r="B31" s="198"/>
      <c r="C31" s="204" t="s">
        <v>53</v>
      </c>
      <c r="D31" s="208">
        <f>-VLOOKUP($C31,'Weekly outflows - detail'!$B$31:$O$43,MATCH(D$6,'Weekly outflows - detail'!$B$31:$O$31,0),FALSE)</f>
        <v>0</v>
      </c>
      <c r="E31" s="208">
        <f>-VLOOKUP($C31,'Weekly outflows - detail'!$B$31:$O$43,MATCH(E$6,'Weekly outflows - detail'!$B$31:$O$31,0),FALSE)</f>
        <v>0</v>
      </c>
      <c r="F31" s="208">
        <f>-VLOOKUP($C31,'Weekly outflows - detail'!$B$31:$O$43,MATCH(F$6,'Weekly outflows - detail'!$B$31:$O$31,0),FALSE)</f>
        <v>0</v>
      </c>
      <c r="G31" s="208">
        <f>-VLOOKUP($C31,'Weekly outflows - detail'!$B$31:$O$43,MATCH(G$6,'Weekly outflows - detail'!$B$31:$O$31,0),FALSE)</f>
        <v>0</v>
      </c>
      <c r="H31" s="208">
        <f>-VLOOKUP($C31,'Weekly outflows - detail'!$B$31:$O$43,MATCH(H$6,'Weekly outflows - detail'!$B$31:$O$31,0),FALSE)</f>
        <v>0</v>
      </c>
      <c r="I31" s="208">
        <f>-VLOOKUP($C31,'Weekly outflows - detail'!$B$31:$O$43,MATCH(I$6,'Weekly outflows - detail'!$B$31:$O$31,0),FALSE)</f>
        <v>0</v>
      </c>
      <c r="J31" s="208">
        <f>-VLOOKUP($C31,'Weekly outflows - detail'!$B$31:$O$43,MATCH(J$6,'Weekly outflows - detail'!$B$31:$O$31,0),FALSE)</f>
        <v>0</v>
      </c>
      <c r="K31" s="208">
        <f>-VLOOKUP($C31,'Weekly outflows - detail'!$B$31:$O$43,MATCH(K$6,'Weekly outflows - detail'!$B$31:$O$31,0),FALSE)</f>
        <v>0</v>
      </c>
      <c r="L31" s="208">
        <f>-VLOOKUP($C31,'Weekly outflows - detail'!$B$31:$O$43,MATCH(L$6,'Weekly outflows - detail'!$B$31:$O$31,0),FALSE)</f>
        <v>0</v>
      </c>
      <c r="M31" s="208">
        <f>-VLOOKUP($C31,'Weekly outflows - detail'!$B$31:$O$43,MATCH(M$6,'Weekly outflows - detail'!$B$31:$O$31,0),FALSE)</f>
        <v>0</v>
      </c>
      <c r="N31" s="208">
        <f>-VLOOKUP($C31,'Weekly outflows - detail'!$B$31:$O$43,MATCH(N$6,'Weekly outflows - detail'!$B$31:$O$31,0),FALSE)</f>
        <v>0</v>
      </c>
      <c r="O31" s="208">
        <f>-VLOOKUP($C31,'Weekly outflows - detail'!$B$31:$O$43,MATCH(O$6,'Weekly outflows - detail'!$B$31:$O$31,0),FALSE)</f>
        <v>0</v>
      </c>
      <c r="P31" s="208">
        <f>-VLOOKUP($C31,'Weekly outflows - detail'!$B$31:$O$43,MATCH(P$6,'Weekly outflows - detail'!$B$31:$O$31,0),FALSE)</f>
        <v>0</v>
      </c>
      <c r="Q31" s="202"/>
      <c r="R31" s="202"/>
    </row>
    <row r="32" spans="1:19" x14ac:dyDescent="0.3">
      <c r="A32" s="199"/>
      <c r="B32" s="198"/>
      <c r="C32" s="205" t="s">
        <v>54</v>
      </c>
      <c r="D32" s="212">
        <f t="shared" ref="D32:P32" si="2">SUM(D28:D31)</f>
        <v>0</v>
      </c>
      <c r="E32" s="213">
        <f t="shared" si="2"/>
        <v>0</v>
      </c>
      <c r="F32" s="213">
        <f t="shared" si="2"/>
        <v>0</v>
      </c>
      <c r="G32" s="213">
        <f t="shared" si="2"/>
        <v>0</v>
      </c>
      <c r="H32" s="213">
        <f t="shared" si="2"/>
        <v>0</v>
      </c>
      <c r="I32" s="213">
        <f t="shared" si="2"/>
        <v>0</v>
      </c>
      <c r="J32" s="213">
        <f t="shared" si="2"/>
        <v>0</v>
      </c>
      <c r="K32" s="213">
        <f t="shared" si="2"/>
        <v>0</v>
      </c>
      <c r="L32" s="213">
        <f t="shared" si="2"/>
        <v>0</v>
      </c>
      <c r="M32" s="213">
        <f t="shared" si="2"/>
        <v>0</v>
      </c>
      <c r="N32" s="213">
        <f t="shared" si="2"/>
        <v>0</v>
      </c>
      <c r="O32" s="213">
        <f t="shared" si="2"/>
        <v>0</v>
      </c>
      <c r="P32" s="213">
        <f t="shared" si="2"/>
        <v>0</v>
      </c>
      <c r="Q32" s="202"/>
      <c r="R32" s="202"/>
    </row>
    <row r="33" spans="1:19" x14ac:dyDescent="0.3">
      <c r="A33" s="199"/>
      <c r="B33" s="198"/>
      <c r="C33" s="206" t="s">
        <v>55</v>
      </c>
      <c r="D33" s="213">
        <f t="shared" ref="D33:P33" si="3">SUM(D26,D32)</f>
        <v>0</v>
      </c>
      <c r="E33" s="213">
        <f t="shared" si="3"/>
        <v>0</v>
      </c>
      <c r="F33" s="213">
        <f t="shared" si="3"/>
        <v>0</v>
      </c>
      <c r="G33" s="213">
        <f t="shared" si="3"/>
        <v>0</v>
      </c>
      <c r="H33" s="213">
        <f t="shared" si="3"/>
        <v>0</v>
      </c>
      <c r="I33" s="213">
        <f t="shared" si="3"/>
        <v>0</v>
      </c>
      <c r="J33" s="213">
        <f t="shared" si="3"/>
        <v>0</v>
      </c>
      <c r="K33" s="213">
        <f t="shared" si="3"/>
        <v>0</v>
      </c>
      <c r="L33" s="213">
        <f t="shared" si="3"/>
        <v>0</v>
      </c>
      <c r="M33" s="213">
        <f t="shared" si="3"/>
        <v>0</v>
      </c>
      <c r="N33" s="213">
        <f t="shared" si="3"/>
        <v>0</v>
      </c>
      <c r="O33" s="213">
        <f t="shared" si="3"/>
        <v>0</v>
      </c>
      <c r="P33" s="213">
        <f t="shared" si="3"/>
        <v>0</v>
      </c>
      <c r="Q33" s="202"/>
      <c r="R33" s="202"/>
    </row>
    <row r="34" spans="1:19" x14ac:dyDescent="0.3">
      <c r="A34" s="199"/>
      <c r="B34" s="198"/>
      <c r="C34" s="176" t="s">
        <v>56</v>
      </c>
      <c r="D34" s="214">
        <f t="shared" ref="D34:P34" si="4">+D8+SUM(D10:D16)-D33</f>
        <v>0</v>
      </c>
      <c r="E34" s="214">
        <f t="shared" si="4"/>
        <v>0</v>
      </c>
      <c r="F34" s="214">
        <f t="shared" si="4"/>
        <v>0</v>
      </c>
      <c r="G34" s="214">
        <f t="shared" si="4"/>
        <v>0</v>
      </c>
      <c r="H34" s="214">
        <f t="shared" si="4"/>
        <v>0</v>
      </c>
      <c r="I34" s="214">
        <f t="shared" si="4"/>
        <v>0</v>
      </c>
      <c r="J34" s="214">
        <f t="shared" si="4"/>
        <v>0</v>
      </c>
      <c r="K34" s="214">
        <f t="shared" si="4"/>
        <v>0</v>
      </c>
      <c r="L34" s="214">
        <f t="shared" si="4"/>
        <v>0</v>
      </c>
      <c r="M34" s="214">
        <f t="shared" si="4"/>
        <v>0</v>
      </c>
      <c r="N34" s="214">
        <f t="shared" si="4"/>
        <v>0</v>
      </c>
      <c r="O34" s="214">
        <f t="shared" si="4"/>
        <v>0</v>
      </c>
      <c r="P34" s="214">
        <f t="shared" si="4"/>
        <v>0</v>
      </c>
      <c r="Q34" s="202"/>
      <c r="R34" s="202"/>
    </row>
    <row r="35" spans="1:19" x14ac:dyDescent="0.3">
      <c r="A35" s="199"/>
      <c r="B35" s="198"/>
      <c r="D35" s="215"/>
      <c r="E35" s="215"/>
      <c r="F35" s="215"/>
      <c r="G35" s="215"/>
      <c r="H35" s="215"/>
      <c r="I35" s="215"/>
      <c r="J35" s="215"/>
      <c r="K35" s="215"/>
      <c r="L35" s="215"/>
      <c r="M35" s="215"/>
      <c r="N35" s="215"/>
      <c r="O35" s="215"/>
      <c r="P35" s="215"/>
    </row>
    <row r="36" spans="1:19" x14ac:dyDescent="0.3">
      <c r="A36" s="199" t="s">
        <v>27</v>
      </c>
      <c r="B36" s="198"/>
      <c r="C36" s="136" t="s">
        <v>57</v>
      </c>
      <c r="D36" s="207"/>
      <c r="E36" s="207"/>
      <c r="F36" s="207"/>
      <c r="G36" s="207"/>
      <c r="H36" s="207"/>
      <c r="I36" s="207"/>
      <c r="J36" s="207"/>
      <c r="K36" s="207"/>
      <c r="L36" s="207"/>
      <c r="M36" s="207"/>
      <c r="N36" s="207"/>
      <c r="O36" s="207"/>
      <c r="P36" s="207"/>
      <c r="S36" s="185" t="s">
        <v>58</v>
      </c>
    </row>
    <row r="37" spans="1:19" x14ac:dyDescent="0.3">
      <c r="A37" s="199" t="s">
        <v>27</v>
      </c>
      <c r="B37" s="198"/>
      <c r="C37" s="136" t="s">
        <v>59</v>
      </c>
      <c r="D37" s="207"/>
      <c r="E37" s="207"/>
      <c r="F37" s="207"/>
      <c r="G37" s="207"/>
      <c r="H37" s="207"/>
      <c r="I37" s="207"/>
      <c r="J37" s="207"/>
      <c r="K37" s="207"/>
      <c r="L37" s="207"/>
      <c r="M37" s="207"/>
      <c r="N37" s="207"/>
      <c r="O37" s="207"/>
      <c r="P37" s="207"/>
      <c r="S37" s="185" t="s">
        <v>60</v>
      </c>
    </row>
    <row r="38" spans="1:19" x14ac:dyDescent="0.3">
      <c r="A38" s="199"/>
      <c r="B38" s="198"/>
      <c r="C38" s="176" t="s">
        <v>61</v>
      </c>
      <c r="D38" s="216">
        <f>D34-D36+D37</f>
        <v>0</v>
      </c>
      <c r="E38" s="216">
        <f t="shared" ref="E38:P38" si="5">E34-E36+E37</f>
        <v>0</v>
      </c>
      <c r="F38" s="216">
        <f t="shared" si="5"/>
        <v>0</v>
      </c>
      <c r="G38" s="216">
        <f t="shared" si="5"/>
        <v>0</v>
      </c>
      <c r="H38" s="216">
        <f t="shared" si="5"/>
        <v>0</v>
      </c>
      <c r="I38" s="216">
        <f t="shared" si="5"/>
        <v>0</v>
      </c>
      <c r="J38" s="216">
        <f t="shared" si="5"/>
        <v>0</v>
      </c>
      <c r="K38" s="216">
        <f t="shared" si="5"/>
        <v>0</v>
      </c>
      <c r="L38" s="216">
        <f t="shared" si="5"/>
        <v>0</v>
      </c>
      <c r="M38" s="216">
        <f t="shared" si="5"/>
        <v>0</v>
      </c>
      <c r="N38" s="216">
        <f t="shared" si="5"/>
        <v>0</v>
      </c>
      <c r="O38" s="216">
        <f t="shared" si="5"/>
        <v>0</v>
      </c>
      <c r="P38" s="216">
        <f t="shared" si="5"/>
        <v>0</v>
      </c>
    </row>
    <row r="39" spans="1:19" x14ac:dyDescent="0.3">
      <c r="A39" s="199"/>
      <c r="B39" s="198"/>
    </row>
    <row r="40" spans="1:19" x14ac:dyDescent="0.3">
      <c r="B40" s="1"/>
    </row>
    <row r="41" spans="1:19" x14ac:dyDescent="0.3">
      <c r="B41" s="1"/>
    </row>
    <row r="42" spans="1:19" x14ac:dyDescent="0.3">
      <c r="B42" s="1"/>
    </row>
    <row r="43" spans="1:19" x14ac:dyDescent="0.3">
      <c r="B43" s="1"/>
    </row>
    <row r="44" spans="1:19" x14ac:dyDescent="0.3">
      <c r="B44" s="1"/>
    </row>
    <row r="45" spans="1:19" x14ac:dyDescent="0.3">
      <c r="B45" s="1"/>
    </row>
    <row r="46" spans="1:19" x14ac:dyDescent="0.3">
      <c r="B46" s="1"/>
    </row>
    <row r="47" spans="1:19" x14ac:dyDescent="0.3">
      <c r="B47" s="1"/>
    </row>
    <row r="48" spans="1:19" x14ac:dyDescent="0.3">
      <c r="B48" s="1"/>
    </row>
    <row r="49" spans="2:2" x14ac:dyDescent="0.3">
      <c r="B49" s="1"/>
    </row>
    <row r="50" spans="2:2" x14ac:dyDescent="0.3">
      <c r="B50" s="1"/>
    </row>
    <row r="51" spans="2:2" x14ac:dyDescent="0.3">
      <c r="B51" s="1"/>
    </row>
    <row r="52" spans="2:2" x14ac:dyDescent="0.3">
      <c r="B52" s="1"/>
    </row>
    <row r="53" spans="2:2" x14ac:dyDescent="0.3">
      <c r="B53" s="1"/>
    </row>
    <row r="54" spans="2:2" x14ac:dyDescent="0.3">
      <c r="B54" s="1"/>
    </row>
    <row r="55" spans="2:2" x14ac:dyDescent="0.3">
      <c r="B55" s="1"/>
    </row>
    <row r="56" spans="2:2" x14ac:dyDescent="0.3">
      <c r="B56" s="1"/>
    </row>
    <row r="57" spans="2:2" x14ac:dyDescent="0.3">
      <c r="B57" s="1"/>
    </row>
    <row r="58" spans="2:2" x14ac:dyDescent="0.3">
      <c r="B58" s="1"/>
    </row>
    <row r="59" spans="2:2" x14ac:dyDescent="0.3">
      <c r="B59" s="1"/>
    </row>
    <row r="60" spans="2:2" x14ac:dyDescent="0.3">
      <c r="B60" s="1"/>
    </row>
    <row r="61" spans="2:2" x14ac:dyDescent="0.3">
      <c r="B61" s="1"/>
    </row>
    <row r="62" spans="2:2" x14ac:dyDescent="0.3">
      <c r="B62" s="1"/>
    </row>
    <row r="63" spans="2:2" x14ac:dyDescent="0.3">
      <c r="B63" s="1"/>
    </row>
    <row r="64" spans="2:2" x14ac:dyDescent="0.3">
      <c r="B64" s="1"/>
    </row>
    <row r="65" spans="2:2" x14ac:dyDescent="0.3">
      <c r="B65" s="1"/>
    </row>
    <row r="66" spans="2:2" x14ac:dyDescent="0.3">
      <c r="B66" s="1"/>
    </row>
    <row r="67" spans="2:2" x14ac:dyDescent="0.3">
      <c r="B67" s="1"/>
    </row>
    <row r="68" spans="2:2" x14ac:dyDescent="0.3">
      <c r="B68" s="1"/>
    </row>
    <row r="69" spans="2:2" x14ac:dyDescent="0.3">
      <c r="B69" s="1"/>
    </row>
    <row r="70" spans="2:2" x14ac:dyDescent="0.3">
      <c r="B70" s="1"/>
    </row>
    <row r="71" spans="2:2" x14ac:dyDescent="0.3">
      <c r="B71" s="1"/>
    </row>
    <row r="72" spans="2:2" x14ac:dyDescent="0.3">
      <c r="B72" s="1"/>
    </row>
    <row r="73" spans="2:2" x14ac:dyDescent="0.3">
      <c r="B73" s="1"/>
    </row>
    <row r="74" spans="2:2" x14ac:dyDescent="0.3">
      <c r="B74" s="1"/>
    </row>
    <row r="75" spans="2:2" x14ac:dyDescent="0.3">
      <c r="B75" s="1"/>
    </row>
    <row r="76" spans="2:2" x14ac:dyDescent="0.3">
      <c r="B76" s="1"/>
    </row>
    <row r="77" spans="2:2" x14ac:dyDescent="0.3">
      <c r="B77" s="1"/>
    </row>
    <row r="78" spans="2:2" x14ac:dyDescent="0.3">
      <c r="B78" s="1"/>
    </row>
    <row r="79" spans="2:2" x14ac:dyDescent="0.3">
      <c r="B79" s="1"/>
    </row>
    <row r="80" spans="2:2" x14ac:dyDescent="0.3">
      <c r="B80" s="1"/>
    </row>
    <row r="81" spans="2:2" x14ac:dyDescent="0.3">
      <c r="B81" s="1"/>
    </row>
    <row r="82" spans="2:2" x14ac:dyDescent="0.3">
      <c r="B82" s="1"/>
    </row>
    <row r="83" spans="2:2" x14ac:dyDescent="0.3">
      <c r="B83" s="1"/>
    </row>
    <row r="84" spans="2:2" x14ac:dyDescent="0.3">
      <c r="B84" s="1"/>
    </row>
    <row r="85" spans="2:2" x14ac:dyDescent="0.3">
      <c r="B85" s="1"/>
    </row>
    <row r="86" spans="2:2" x14ac:dyDescent="0.3">
      <c r="B86" s="1"/>
    </row>
    <row r="87" spans="2:2" x14ac:dyDescent="0.3">
      <c r="B87" s="1"/>
    </row>
    <row r="88" spans="2:2" x14ac:dyDescent="0.3">
      <c r="B88" s="1"/>
    </row>
    <row r="89" spans="2:2" x14ac:dyDescent="0.3">
      <c r="B89" s="1"/>
    </row>
    <row r="90" spans="2:2" x14ac:dyDescent="0.3">
      <c r="B90" s="1"/>
    </row>
    <row r="91" spans="2:2" x14ac:dyDescent="0.3">
      <c r="B91" s="1"/>
    </row>
    <row r="92" spans="2:2" x14ac:dyDescent="0.3">
      <c r="B92" s="1"/>
    </row>
    <row r="93" spans="2:2" x14ac:dyDescent="0.3">
      <c r="B93" s="1"/>
    </row>
    <row r="94" spans="2:2" x14ac:dyDescent="0.3">
      <c r="B94" s="1"/>
    </row>
    <row r="95" spans="2:2" x14ac:dyDescent="0.3">
      <c r="B95" s="1"/>
    </row>
    <row r="96" spans="2:2" x14ac:dyDescent="0.3">
      <c r="B96" s="1"/>
    </row>
    <row r="97" spans="2:2" x14ac:dyDescent="0.3">
      <c r="B97" s="1"/>
    </row>
    <row r="98" spans="2:2" x14ac:dyDescent="0.3">
      <c r="B98" s="1"/>
    </row>
    <row r="99" spans="2:2" x14ac:dyDescent="0.3">
      <c r="B99" s="1"/>
    </row>
    <row r="100" spans="2:2" x14ac:dyDescent="0.3">
      <c r="B100" s="1"/>
    </row>
    <row r="101" spans="2:2" x14ac:dyDescent="0.3">
      <c r="B101" s="1"/>
    </row>
    <row r="102" spans="2:2" x14ac:dyDescent="0.3">
      <c r="B102" s="1"/>
    </row>
    <row r="103" spans="2:2" x14ac:dyDescent="0.3">
      <c r="B103" s="1"/>
    </row>
    <row r="104" spans="2:2" x14ac:dyDescent="0.3">
      <c r="B104" s="1"/>
    </row>
    <row r="105" spans="2:2" x14ac:dyDescent="0.3">
      <c r="B105" s="1"/>
    </row>
    <row r="106" spans="2:2" x14ac:dyDescent="0.3">
      <c r="B106" s="1"/>
    </row>
    <row r="107" spans="2:2" x14ac:dyDescent="0.3">
      <c r="B107" s="1"/>
    </row>
    <row r="108" spans="2:2" x14ac:dyDescent="0.3">
      <c r="B108" s="1"/>
    </row>
    <row r="109" spans="2:2" x14ac:dyDescent="0.3">
      <c r="B109" s="1"/>
    </row>
    <row r="110" spans="2:2" x14ac:dyDescent="0.3">
      <c r="B110" s="1"/>
    </row>
    <row r="111" spans="2:2" x14ac:dyDescent="0.3">
      <c r="B111" s="1"/>
    </row>
    <row r="112" spans="2:2" x14ac:dyDescent="0.3">
      <c r="B112" s="1"/>
    </row>
    <row r="113" spans="2:2" x14ac:dyDescent="0.3">
      <c r="B113" s="1"/>
    </row>
    <row r="114" spans="2:2" x14ac:dyDescent="0.3">
      <c r="B114" s="1"/>
    </row>
    <row r="115" spans="2:2" x14ac:dyDescent="0.3">
      <c r="B115" s="1"/>
    </row>
    <row r="116" spans="2:2" x14ac:dyDescent="0.3">
      <c r="B116" s="1"/>
    </row>
    <row r="117" spans="2:2" x14ac:dyDescent="0.3">
      <c r="B117" s="1"/>
    </row>
    <row r="118" spans="2:2" x14ac:dyDescent="0.3">
      <c r="B118" s="1"/>
    </row>
    <row r="119" spans="2:2" x14ac:dyDescent="0.3">
      <c r="B119" s="1"/>
    </row>
    <row r="120" spans="2:2" x14ac:dyDescent="0.3">
      <c r="B120" s="1"/>
    </row>
    <row r="121" spans="2:2" x14ac:dyDescent="0.3">
      <c r="B121" s="1"/>
    </row>
    <row r="122" spans="2:2" x14ac:dyDescent="0.3">
      <c r="B122" s="1"/>
    </row>
    <row r="123" spans="2:2" x14ac:dyDescent="0.3">
      <c r="B123" s="1"/>
    </row>
    <row r="124" spans="2:2" x14ac:dyDescent="0.3">
      <c r="B124" s="1"/>
    </row>
    <row r="125" spans="2:2" x14ac:dyDescent="0.3">
      <c r="B125" s="1"/>
    </row>
    <row r="126" spans="2:2" x14ac:dyDescent="0.3">
      <c r="B126" s="1"/>
    </row>
    <row r="127" spans="2:2" x14ac:dyDescent="0.3">
      <c r="B127" s="1"/>
    </row>
    <row r="128" spans="2:2" x14ac:dyDescent="0.3">
      <c r="B128" s="1"/>
    </row>
    <row r="129" spans="2:2" x14ac:dyDescent="0.3">
      <c r="B129" s="1"/>
    </row>
    <row r="130" spans="2:2" x14ac:dyDescent="0.3">
      <c r="B130" s="1"/>
    </row>
    <row r="131" spans="2:2" x14ac:dyDescent="0.3">
      <c r="B131" s="1"/>
    </row>
    <row r="132" spans="2:2" x14ac:dyDescent="0.3">
      <c r="B132" s="1"/>
    </row>
    <row r="133" spans="2:2" x14ac:dyDescent="0.3">
      <c r="B133" s="1"/>
    </row>
    <row r="134" spans="2:2" x14ac:dyDescent="0.3">
      <c r="B134" s="1"/>
    </row>
    <row r="135" spans="2:2" x14ac:dyDescent="0.3">
      <c r="B135" s="1"/>
    </row>
    <row r="136" spans="2:2" x14ac:dyDescent="0.3">
      <c r="B136" s="1"/>
    </row>
    <row r="137" spans="2:2" x14ac:dyDescent="0.3">
      <c r="B137" s="1"/>
    </row>
    <row r="138" spans="2:2" x14ac:dyDescent="0.3">
      <c r="B138" s="1"/>
    </row>
    <row r="139" spans="2:2" x14ac:dyDescent="0.3">
      <c r="B139" s="1"/>
    </row>
    <row r="140" spans="2:2" x14ac:dyDescent="0.3">
      <c r="B140" s="1"/>
    </row>
    <row r="141" spans="2:2" x14ac:dyDescent="0.3">
      <c r="B141" s="1"/>
    </row>
    <row r="142" spans="2:2" x14ac:dyDescent="0.3">
      <c r="B142" s="1"/>
    </row>
    <row r="143" spans="2:2" x14ac:dyDescent="0.3">
      <c r="B143" s="1"/>
    </row>
    <row r="144" spans="2:2" x14ac:dyDescent="0.3">
      <c r="B144" s="1"/>
    </row>
    <row r="145" spans="2:2" x14ac:dyDescent="0.3">
      <c r="B145" s="1"/>
    </row>
    <row r="146" spans="2:2" x14ac:dyDescent="0.3">
      <c r="B146" s="1"/>
    </row>
    <row r="147" spans="2:2" x14ac:dyDescent="0.3">
      <c r="B147" s="1"/>
    </row>
    <row r="148" spans="2:2" x14ac:dyDescent="0.3">
      <c r="B148" s="1"/>
    </row>
    <row r="149" spans="2:2" x14ac:dyDescent="0.3">
      <c r="B149" s="1"/>
    </row>
    <row r="150" spans="2:2" x14ac:dyDescent="0.3">
      <c r="B150" s="1"/>
    </row>
    <row r="151" spans="2:2" x14ac:dyDescent="0.3">
      <c r="B151" s="1"/>
    </row>
    <row r="152" spans="2:2" x14ac:dyDescent="0.3">
      <c r="B152" s="1"/>
    </row>
    <row r="153" spans="2:2" x14ac:dyDescent="0.3">
      <c r="B153" s="1"/>
    </row>
    <row r="154" spans="2:2" x14ac:dyDescent="0.3">
      <c r="B154" s="1"/>
    </row>
    <row r="155" spans="2:2" x14ac:dyDescent="0.3">
      <c r="B155" s="1"/>
    </row>
    <row r="156" spans="2:2" x14ac:dyDescent="0.3">
      <c r="B156" s="1"/>
    </row>
    <row r="157" spans="2:2" x14ac:dyDescent="0.3">
      <c r="B157" s="1"/>
    </row>
    <row r="158" spans="2:2" x14ac:dyDescent="0.3">
      <c r="B158" s="1"/>
    </row>
    <row r="159" spans="2:2" x14ac:dyDescent="0.3">
      <c r="B159" s="1"/>
    </row>
    <row r="160" spans="2:2" x14ac:dyDescent="0.3">
      <c r="B160" s="1"/>
    </row>
    <row r="161" spans="2:2" x14ac:dyDescent="0.3">
      <c r="B161" s="1"/>
    </row>
    <row r="162" spans="2:2" x14ac:dyDescent="0.3">
      <c r="B162" s="1"/>
    </row>
    <row r="163" spans="2:2" x14ac:dyDescent="0.3">
      <c r="B163" s="1"/>
    </row>
    <row r="164" spans="2:2" x14ac:dyDescent="0.3">
      <c r="B164" s="1"/>
    </row>
    <row r="165" spans="2:2" x14ac:dyDescent="0.3">
      <c r="B165" s="1"/>
    </row>
    <row r="166" spans="2:2" x14ac:dyDescent="0.3">
      <c r="B166" s="1"/>
    </row>
    <row r="167" spans="2:2" x14ac:dyDescent="0.3">
      <c r="B167" s="1"/>
    </row>
    <row r="168" spans="2:2" x14ac:dyDescent="0.3">
      <c r="B168" s="1"/>
    </row>
    <row r="169" spans="2:2" x14ac:dyDescent="0.3">
      <c r="B169" s="1"/>
    </row>
    <row r="170" spans="2:2" x14ac:dyDescent="0.3">
      <c r="B170" s="1"/>
    </row>
    <row r="171" spans="2:2" x14ac:dyDescent="0.3">
      <c r="B171" s="1"/>
    </row>
    <row r="172" spans="2:2" x14ac:dyDescent="0.3">
      <c r="B172" s="1"/>
    </row>
    <row r="173" spans="2:2" x14ac:dyDescent="0.3">
      <c r="B173" s="1"/>
    </row>
    <row r="174" spans="2:2" x14ac:dyDescent="0.3">
      <c r="B174" s="1"/>
    </row>
    <row r="175" spans="2:2" x14ac:dyDescent="0.3">
      <c r="B175" s="1"/>
    </row>
    <row r="176" spans="2:2" x14ac:dyDescent="0.3">
      <c r="B176" s="1"/>
    </row>
    <row r="177" spans="2:2" x14ac:dyDescent="0.3">
      <c r="B177" s="1"/>
    </row>
    <row r="178" spans="2:2" x14ac:dyDescent="0.3">
      <c r="B178" s="1"/>
    </row>
    <row r="179" spans="2:2" x14ac:dyDescent="0.3">
      <c r="B179" s="1"/>
    </row>
    <row r="180" spans="2:2" x14ac:dyDescent="0.3">
      <c r="B180" s="1"/>
    </row>
    <row r="181" spans="2:2" x14ac:dyDescent="0.3">
      <c r="B181" s="1"/>
    </row>
    <row r="182" spans="2:2" x14ac:dyDescent="0.3">
      <c r="B182" s="1"/>
    </row>
    <row r="183" spans="2:2" x14ac:dyDescent="0.3">
      <c r="B183" s="1"/>
    </row>
    <row r="184" spans="2:2" x14ac:dyDescent="0.3">
      <c r="B184" s="1"/>
    </row>
    <row r="185" spans="2:2" x14ac:dyDescent="0.3">
      <c r="B185" s="1"/>
    </row>
    <row r="186" spans="2:2" x14ac:dyDescent="0.3">
      <c r="B186" s="1"/>
    </row>
    <row r="187" spans="2:2" x14ac:dyDescent="0.3">
      <c r="B187" s="1"/>
    </row>
    <row r="188" spans="2:2" x14ac:dyDescent="0.3">
      <c r="B188" s="1"/>
    </row>
    <row r="189" spans="2:2" x14ac:dyDescent="0.3">
      <c r="B189" s="1"/>
    </row>
    <row r="190" spans="2:2" x14ac:dyDescent="0.3">
      <c r="B190" s="1"/>
    </row>
    <row r="191" spans="2:2" x14ac:dyDescent="0.3">
      <c r="B191" s="1"/>
    </row>
    <row r="192" spans="2:2" x14ac:dyDescent="0.3">
      <c r="B192" s="1"/>
    </row>
    <row r="193" spans="2:2" x14ac:dyDescent="0.3">
      <c r="B193" s="1"/>
    </row>
    <row r="194" spans="2:2" x14ac:dyDescent="0.3">
      <c r="B194" s="1"/>
    </row>
    <row r="195" spans="2:2" x14ac:dyDescent="0.3">
      <c r="B195" s="1"/>
    </row>
    <row r="196" spans="2:2" x14ac:dyDescent="0.3">
      <c r="B196" s="1"/>
    </row>
    <row r="197" spans="2:2" x14ac:dyDescent="0.3">
      <c r="B197" s="1"/>
    </row>
    <row r="198" spans="2:2" x14ac:dyDescent="0.3">
      <c r="B198" s="1"/>
    </row>
  </sheetData>
  <mergeCells count="5">
    <mergeCell ref="C1:R1"/>
    <mergeCell ref="C2:R2"/>
    <mergeCell ref="C3:R3"/>
    <mergeCell ref="A1:A2"/>
    <mergeCell ref="Q5:R5"/>
  </mergeCells>
  <pageMargins left="0.25" right="0.25" top="0.5" bottom="0.5" header="0.3" footer="0.3"/>
  <pageSetup paperSize="5" scale="86" orientation="landscape" r:id="rId1"/>
  <ignoredErrors>
    <ignoredError sqref="D27:P27 E8:P8 D28:P31 D26:P26 D18:P25" unlockedFormula="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5"/>
  <sheetViews>
    <sheetView workbookViewId="0">
      <selection sqref="A1:R1"/>
    </sheetView>
  </sheetViews>
  <sheetFormatPr defaultColWidth="9.109375" defaultRowHeight="14.4" x14ac:dyDescent="0.3"/>
  <cols>
    <col min="1" max="1" width="4.33203125" customWidth="1"/>
    <col min="2" max="2" width="41.88671875" customWidth="1"/>
    <col min="3" max="3" width="15.44140625" style="81" customWidth="1"/>
    <col min="4" max="4" width="3.6640625" customWidth="1"/>
    <col min="5" max="5" width="9.109375" style="81" customWidth="1"/>
    <col min="6" max="6" width="12" customWidth="1"/>
    <col min="7" max="7" width="3.44140625" style="81" customWidth="1"/>
    <col min="8" max="8" width="12" hidden="1" customWidth="1"/>
    <col min="9" max="9" width="3.44140625" hidden="1" customWidth="1"/>
    <col min="10" max="10" width="12" hidden="1" customWidth="1"/>
    <col min="11" max="11" width="8.88671875" hidden="1" customWidth="1"/>
    <col min="12" max="12" width="12" hidden="1" customWidth="1"/>
    <col min="13" max="13" width="11.109375" hidden="1" customWidth="1"/>
    <col min="14" max="15" width="9.109375" hidden="1" customWidth="1"/>
    <col min="16" max="17" width="2.109375" hidden="1" customWidth="1"/>
    <col min="18" max="18" width="11.5546875" hidden="1" customWidth="1"/>
    <col min="19" max="19" width="11.109375" bestFit="1" customWidth="1"/>
    <col min="25" max="25" width="15.44140625" bestFit="1" customWidth="1"/>
    <col min="26" max="26" width="13.33203125" bestFit="1" customWidth="1"/>
    <col min="29" max="29" width="13.33203125" bestFit="1" customWidth="1"/>
    <col min="31" max="31" width="10.6640625" bestFit="1" customWidth="1"/>
    <col min="32" max="32" width="54.33203125" bestFit="1" customWidth="1"/>
  </cols>
  <sheetData>
    <row r="1" spans="1:19" x14ac:dyDescent="0.3">
      <c r="A1" s="227" t="s">
        <v>62</v>
      </c>
      <c r="B1" s="227"/>
      <c r="C1" s="227"/>
      <c r="D1" s="227"/>
      <c r="E1" s="227"/>
      <c r="F1" s="227"/>
      <c r="G1" s="227"/>
      <c r="H1" s="227"/>
      <c r="I1" s="227"/>
      <c r="J1" s="227"/>
      <c r="K1" s="227"/>
      <c r="L1" s="227"/>
      <c r="M1" s="227"/>
      <c r="N1" s="227"/>
      <c r="O1" s="227"/>
      <c r="P1" s="227"/>
      <c r="Q1" s="227"/>
      <c r="R1" s="227"/>
    </row>
    <row r="2" spans="1:19" x14ac:dyDescent="0.3">
      <c r="A2" s="227" t="s">
        <v>63</v>
      </c>
      <c r="B2" s="227"/>
      <c r="C2" s="227"/>
      <c r="D2" s="227"/>
      <c r="E2" s="227"/>
      <c r="F2" s="227"/>
      <c r="G2" s="227"/>
      <c r="H2" s="227"/>
      <c r="I2" s="227"/>
      <c r="J2" s="227"/>
      <c r="K2" s="227"/>
      <c r="L2" s="227"/>
      <c r="M2" s="227"/>
      <c r="N2" s="227"/>
      <c r="O2" s="227"/>
      <c r="P2" s="227"/>
      <c r="Q2" s="227"/>
      <c r="R2" s="227"/>
    </row>
    <row r="3" spans="1:19" x14ac:dyDescent="0.3">
      <c r="A3" s="80"/>
      <c r="B3" s="80"/>
      <c r="C3" s="80"/>
      <c r="D3" s="80"/>
      <c r="E3" s="80"/>
      <c r="F3" s="80"/>
      <c r="G3" s="80"/>
      <c r="H3" s="80"/>
      <c r="I3" s="80"/>
      <c r="J3" s="80"/>
      <c r="K3" s="80"/>
      <c r="L3" s="80"/>
      <c r="M3" s="80"/>
      <c r="N3" s="80"/>
      <c r="O3" s="80"/>
      <c r="P3" s="80"/>
      <c r="Q3" s="80"/>
      <c r="R3" s="80"/>
    </row>
    <row r="4" spans="1:19" x14ac:dyDescent="0.3">
      <c r="F4" s="82" t="s">
        <v>64</v>
      </c>
      <c r="G4" s="83"/>
      <c r="H4" s="84"/>
      <c r="I4" s="2"/>
      <c r="J4" s="84"/>
      <c r="K4" s="2"/>
      <c r="L4" s="84"/>
      <c r="M4" s="2"/>
      <c r="N4" s="2"/>
      <c r="O4" s="2"/>
      <c r="P4" s="2"/>
      <c r="Q4" s="2"/>
      <c r="R4" s="82" t="s">
        <v>65</v>
      </c>
    </row>
    <row r="5" spans="1:19" ht="72" x14ac:dyDescent="0.3">
      <c r="C5" s="85"/>
      <c r="F5" s="86" t="s">
        <v>66</v>
      </c>
      <c r="G5" s="53"/>
      <c r="H5" s="86" t="s">
        <v>67</v>
      </c>
      <c r="J5" s="86" t="s">
        <v>67</v>
      </c>
      <c r="L5" s="86" t="s">
        <v>68</v>
      </c>
      <c r="R5" s="86" t="s">
        <v>66</v>
      </c>
    </row>
    <row r="6" spans="1:19" x14ac:dyDescent="0.3">
      <c r="A6" s="76" t="s">
        <v>69</v>
      </c>
      <c r="B6" s="76"/>
      <c r="S6" s="87">
        <v>1</v>
      </c>
    </row>
    <row r="7" spans="1:19" x14ac:dyDescent="0.3">
      <c r="A7" t="s">
        <v>70</v>
      </c>
      <c r="C7" s="88"/>
      <c r="E7" s="88"/>
      <c r="F7" s="89">
        <f>Z31</f>
        <v>-787836</v>
      </c>
      <c r="G7" s="88"/>
      <c r="H7" s="89">
        <v>-595975.48341432889</v>
      </c>
      <c r="J7" s="89">
        <v>-533765.11242660449</v>
      </c>
      <c r="L7" s="89">
        <v>-1910443</v>
      </c>
      <c r="M7" s="89"/>
      <c r="R7" s="89">
        <v>-812955</v>
      </c>
      <c r="S7" t="s">
        <v>71</v>
      </c>
    </row>
    <row r="8" spans="1:19" x14ac:dyDescent="0.3">
      <c r="A8" s="90" t="s">
        <v>72</v>
      </c>
      <c r="B8" s="90"/>
      <c r="C8" s="91"/>
      <c r="E8" s="91"/>
      <c r="F8" s="4">
        <v>804324</v>
      </c>
      <c r="G8" s="91"/>
      <c r="H8" s="4">
        <v>800412</v>
      </c>
      <c r="J8" s="4">
        <v>800412</v>
      </c>
      <c r="L8" s="3">
        <v>971937</v>
      </c>
      <c r="R8" s="3">
        <v>804324</v>
      </c>
      <c r="S8" s="90" t="s">
        <v>72</v>
      </c>
    </row>
    <row r="9" spans="1:19" x14ac:dyDescent="0.3">
      <c r="A9" s="90" t="s">
        <v>73</v>
      </c>
      <c r="B9" s="90"/>
      <c r="C9" s="91"/>
      <c r="E9" s="92" t="s">
        <v>74</v>
      </c>
      <c r="F9" s="4">
        <v>19713</v>
      </c>
      <c r="G9" s="93"/>
      <c r="H9" s="4">
        <v>24825</v>
      </c>
      <c r="J9" s="4">
        <v>24825</v>
      </c>
      <c r="L9" s="3">
        <v>33204</v>
      </c>
      <c r="R9" s="3">
        <v>19713</v>
      </c>
      <c r="S9" s="90" t="s">
        <v>73</v>
      </c>
    </row>
    <row r="10" spans="1:19" x14ac:dyDescent="0.3">
      <c r="A10" s="90" t="s">
        <v>75</v>
      </c>
      <c r="B10" s="90"/>
      <c r="C10" s="93"/>
      <c r="E10" s="92" t="s">
        <v>76</v>
      </c>
      <c r="F10" s="4">
        <v>597800</v>
      </c>
      <c r="G10" s="93"/>
      <c r="H10" s="4">
        <v>548309.48341432889</v>
      </c>
      <c r="J10" s="4">
        <v>561744.27371692704</v>
      </c>
      <c r="L10" s="3">
        <v>546021</v>
      </c>
      <c r="R10" s="3">
        <v>597800</v>
      </c>
      <c r="S10" s="90" t="s">
        <v>75</v>
      </c>
    </row>
    <row r="11" spans="1:19" x14ac:dyDescent="0.3">
      <c r="A11" s="90" t="s">
        <v>77</v>
      </c>
      <c r="B11" s="90"/>
      <c r="D11" s="93"/>
      <c r="E11" s="92" t="s">
        <v>78</v>
      </c>
      <c r="F11" s="4">
        <v>448195</v>
      </c>
      <c r="H11" s="4">
        <v>0</v>
      </c>
      <c r="J11" s="4">
        <v>0</v>
      </c>
      <c r="L11" s="3">
        <v>0</v>
      </c>
      <c r="R11" s="3">
        <v>448195</v>
      </c>
      <c r="S11" s="90" t="s">
        <v>77</v>
      </c>
    </row>
    <row r="12" spans="1:19" x14ac:dyDescent="0.3">
      <c r="A12" s="90" t="s">
        <v>79</v>
      </c>
      <c r="B12" s="90"/>
      <c r="E12" s="94"/>
      <c r="F12" s="4">
        <v>0</v>
      </c>
      <c r="G12" s="93"/>
      <c r="H12" s="4">
        <v>359622</v>
      </c>
      <c r="J12" s="4">
        <v>283976.83870967745</v>
      </c>
      <c r="L12" s="3">
        <v>833331</v>
      </c>
      <c r="R12" s="3">
        <v>0</v>
      </c>
      <c r="S12" s="90" t="s">
        <v>79</v>
      </c>
    </row>
    <row r="13" spans="1:19" hidden="1" x14ac:dyDescent="0.3">
      <c r="A13" s="90" t="s">
        <v>80</v>
      </c>
      <c r="B13" s="90"/>
      <c r="E13" s="92" t="s">
        <v>81</v>
      </c>
      <c r="F13" s="4"/>
      <c r="G13" s="93"/>
      <c r="H13" s="4">
        <v>0</v>
      </c>
      <c r="J13" s="4">
        <v>0</v>
      </c>
      <c r="L13" s="4">
        <v>360000</v>
      </c>
      <c r="R13" s="95"/>
      <c r="S13" s="90"/>
    </row>
    <row r="14" spans="1:19" x14ac:dyDescent="0.3">
      <c r="A14" s="90" t="s">
        <v>82</v>
      </c>
      <c r="B14" s="90"/>
      <c r="E14" s="94"/>
      <c r="F14" s="3">
        <v>0</v>
      </c>
      <c r="H14" s="4">
        <v>0</v>
      </c>
      <c r="J14" s="3">
        <v>0</v>
      </c>
      <c r="L14" s="3">
        <v>0</v>
      </c>
      <c r="R14" s="3">
        <v>0</v>
      </c>
      <c r="S14" s="90" t="s">
        <v>82</v>
      </c>
    </row>
    <row r="15" spans="1:19" x14ac:dyDescent="0.3">
      <c r="A15" s="90" t="s">
        <v>83</v>
      </c>
      <c r="H15" s="4">
        <v>0</v>
      </c>
      <c r="J15" s="3">
        <v>0</v>
      </c>
      <c r="L15" s="3">
        <v>0</v>
      </c>
      <c r="S15" s="90" t="s">
        <v>83</v>
      </c>
    </row>
    <row r="16" spans="1:19" x14ac:dyDescent="0.3">
      <c r="A16" s="90" t="s">
        <v>84</v>
      </c>
      <c r="H16" s="96">
        <v>1137193</v>
      </c>
      <c r="J16" s="96">
        <v>1137193</v>
      </c>
      <c r="L16" s="96">
        <f>SUM(L7:L15)</f>
        <v>834050</v>
      </c>
      <c r="S16" s="90" t="s">
        <v>84</v>
      </c>
    </row>
    <row r="17" spans="1:33" x14ac:dyDescent="0.3">
      <c r="A17" s="90" t="s">
        <v>85</v>
      </c>
      <c r="S17" s="90" t="s">
        <v>85</v>
      </c>
    </row>
    <row r="18" spans="1:33" x14ac:dyDescent="0.3">
      <c r="A18" s="90" t="s">
        <v>86</v>
      </c>
      <c r="S18" s="90" t="s">
        <v>86</v>
      </c>
    </row>
    <row r="19" spans="1:33" x14ac:dyDescent="0.3">
      <c r="A19" s="90" t="s">
        <v>87</v>
      </c>
      <c r="B19" s="90"/>
      <c r="E19" s="94"/>
      <c r="F19" s="3">
        <v>-130000</v>
      </c>
      <c r="G19" s="93"/>
      <c r="H19" s="97">
        <v>328643.46417370852</v>
      </c>
      <c r="J19" s="97">
        <v>337365.82094350905</v>
      </c>
      <c r="L19" s="97">
        <f>L51</f>
        <v>248293</v>
      </c>
      <c r="R19" s="3"/>
      <c r="S19" s="90" t="s">
        <v>88</v>
      </c>
    </row>
    <row r="20" spans="1:33" x14ac:dyDescent="0.3">
      <c r="A20" s="90" t="s">
        <v>89</v>
      </c>
      <c r="G20" s="93"/>
      <c r="H20" s="97">
        <v>499885.20341432898</v>
      </c>
      <c r="I20" s="3"/>
      <c r="J20" s="97">
        <v>513319.99371692701</v>
      </c>
      <c r="L20" s="97">
        <f>L56</f>
        <v>368855</v>
      </c>
      <c r="R20" s="95"/>
      <c r="S20" s="90"/>
    </row>
    <row r="21" spans="1:33" x14ac:dyDescent="0.3">
      <c r="A21" s="98" t="s">
        <v>90</v>
      </c>
      <c r="B21" s="98"/>
      <c r="E21" s="94"/>
      <c r="F21" s="96">
        <f>SUM(F7:F19)</f>
        <v>952196</v>
      </c>
      <c r="H21" s="96">
        <v>828528.66758803744</v>
      </c>
      <c r="I21" s="3"/>
      <c r="J21" s="96">
        <v>850685.81466043601</v>
      </c>
      <c r="L21" s="96">
        <f>SUM(L19:L20)</f>
        <v>617148</v>
      </c>
      <c r="R21" s="96">
        <f>SUM(R7:R20)</f>
        <v>1057077</v>
      </c>
    </row>
    <row r="22" spans="1:33" x14ac:dyDescent="0.3">
      <c r="A22" s="76" t="s">
        <v>91</v>
      </c>
      <c r="B22" s="76"/>
      <c r="E22" s="94"/>
      <c r="I22" s="3"/>
      <c r="Y22" t="s">
        <v>92</v>
      </c>
    </row>
    <row r="23" spans="1:33" ht="15" thickBot="1" x14ac:dyDescent="0.35">
      <c r="A23" t="s">
        <v>93</v>
      </c>
      <c r="C23" s="93"/>
      <c r="D23" s="93"/>
      <c r="E23" s="92" t="s">
        <v>94</v>
      </c>
      <c r="F23" s="97">
        <f>F$51</f>
        <v>286526.17</v>
      </c>
      <c r="H23" s="99" t="s">
        <v>95</v>
      </c>
      <c r="J23" s="99" t="s">
        <v>96</v>
      </c>
      <c r="L23" s="99" t="str">
        <f>TEXT(ROUND(L16/L21,2),"0.00")&amp;" : 1.00"</f>
        <v>1.35 : 1.00</v>
      </c>
      <c r="R23" s="97">
        <f>R$51</f>
        <v>286526.17</v>
      </c>
      <c r="S23" t="s">
        <v>93</v>
      </c>
      <c r="Z23" t="s">
        <v>97</v>
      </c>
      <c r="AC23" t="s">
        <v>98</v>
      </c>
      <c r="AE23" t="s">
        <v>99</v>
      </c>
      <c r="AF23" t="s">
        <v>100</v>
      </c>
    </row>
    <row r="24" spans="1:33" ht="15" thickTop="1" x14ac:dyDescent="0.3">
      <c r="A24" s="90" t="s">
        <v>101</v>
      </c>
      <c r="B24" s="90"/>
      <c r="E24" s="92" t="s">
        <v>102</v>
      </c>
      <c r="F24" s="97">
        <f>F$56</f>
        <v>505245</v>
      </c>
      <c r="H24" s="100"/>
      <c r="J24" s="100"/>
      <c r="L24" s="100" t="s">
        <v>103</v>
      </c>
      <c r="R24" s="97">
        <f>R$56</f>
        <v>505245</v>
      </c>
      <c r="S24" s="90" t="s">
        <v>101</v>
      </c>
      <c r="Y24" t="s">
        <v>104</v>
      </c>
      <c r="Z24" s="3">
        <f>4225115-54600</f>
        <v>4170515</v>
      </c>
      <c r="AA24" s="3"/>
      <c r="AB24" s="3"/>
      <c r="AC24" s="3">
        <v>4113596</v>
      </c>
      <c r="AD24" s="3"/>
      <c r="AE24" s="3">
        <f>Z24-AC24</f>
        <v>56919</v>
      </c>
      <c r="AF24" t="s">
        <v>105</v>
      </c>
      <c r="AG24">
        <f>2650*3*7</f>
        <v>55650</v>
      </c>
    </row>
    <row r="25" spans="1:33" x14ac:dyDescent="0.3">
      <c r="A25" s="98" t="s">
        <v>90</v>
      </c>
      <c r="B25" s="98"/>
      <c r="F25" s="96">
        <f>SUM(F23:F24)</f>
        <v>791771.16999999993</v>
      </c>
      <c r="R25" s="96">
        <f>SUM(R23:R24)</f>
        <v>791771.16999999993</v>
      </c>
      <c r="Y25" t="s">
        <v>106</v>
      </c>
      <c r="Z25" s="3">
        <v>-192876</v>
      </c>
      <c r="AA25" s="3"/>
      <c r="AB25" s="3"/>
      <c r="AC25" s="3">
        <v>-171849</v>
      </c>
      <c r="AD25" s="3"/>
      <c r="AE25" s="3">
        <f t="shared" ref="AE25:AE26" si="0">Z25-AC25</f>
        <v>-21027</v>
      </c>
      <c r="AF25" s="90" t="s">
        <v>107</v>
      </c>
    </row>
    <row r="26" spans="1:33" ht="15" thickBot="1" x14ac:dyDescent="0.35">
      <c r="H26" s="101">
        <v>0</v>
      </c>
      <c r="J26" s="101">
        <v>0</v>
      </c>
      <c r="L26" s="101">
        <f>IF(L21-L16&gt;0,L21-L16,0)</f>
        <v>0</v>
      </c>
      <c r="Y26" t="s">
        <v>108</v>
      </c>
      <c r="Z26" s="3">
        <v>49000</v>
      </c>
      <c r="AA26" s="3"/>
      <c r="AB26" s="3"/>
      <c r="AC26" s="3">
        <v>59773</v>
      </c>
      <c r="AD26" s="3"/>
      <c r="AE26" s="3">
        <f t="shared" si="0"/>
        <v>-10773</v>
      </c>
      <c r="AF26" s="90" t="s">
        <v>109</v>
      </c>
    </row>
    <row r="27" spans="1:33" ht="15.6" thickTop="1" thickBot="1" x14ac:dyDescent="0.35">
      <c r="A27" s="102" t="s">
        <v>110</v>
      </c>
      <c r="B27" s="102"/>
      <c r="F27" s="99" t="str">
        <f>TEXT(ROUND(F21/F25,2),"0.00")&amp;" : 1.00"</f>
        <v>1.20 : 1.00</v>
      </c>
      <c r="H27" s="89"/>
      <c r="J27" s="89"/>
      <c r="L27" s="89"/>
      <c r="R27" s="99" t="str">
        <f>TEXT(ROUND(R21/R25,2),"0.00")&amp;" : 1.00"</f>
        <v>1.34 : 1.00</v>
      </c>
      <c r="Z27" s="3"/>
      <c r="AA27" s="3"/>
      <c r="AB27" s="3"/>
      <c r="AC27" s="3"/>
      <c r="AD27" s="3"/>
      <c r="AE27" s="3"/>
    </row>
    <row r="28" spans="1:33" ht="15" thickTop="1" x14ac:dyDescent="0.3">
      <c r="B28" s="90"/>
      <c r="F28" s="100" t="s">
        <v>111</v>
      </c>
      <c r="H28" s="89"/>
      <c r="J28" s="89"/>
      <c r="L28" s="89"/>
      <c r="R28" s="100" t="s">
        <v>103</v>
      </c>
      <c r="Y28" t="s">
        <v>112</v>
      </c>
      <c r="Z28" s="3">
        <v>-3748767</v>
      </c>
      <c r="AA28" s="3" t="s">
        <v>113</v>
      </c>
      <c r="AB28" s="3"/>
      <c r="AC28" s="3">
        <v>-3748767</v>
      </c>
      <c r="AD28" s="3"/>
      <c r="AE28" s="3"/>
    </row>
    <row r="29" spans="1:33" x14ac:dyDescent="0.3">
      <c r="A29" s="103"/>
      <c r="B29" s="103"/>
      <c r="F29" s="89"/>
      <c r="H29" s="89"/>
      <c r="J29" s="89"/>
      <c r="L29" s="89"/>
      <c r="R29" s="100"/>
      <c r="Y29" t="s">
        <v>114</v>
      </c>
      <c r="Z29" s="3">
        <v>-1065708</v>
      </c>
      <c r="AA29" s="3" t="s">
        <v>113</v>
      </c>
      <c r="AB29" s="3"/>
      <c r="AC29" s="3">
        <v>-1065708</v>
      </c>
      <c r="AD29" s="3"/>
      <c r="AE29" s="3"/>
    </row>
    <row r="30" spans="1:33" ht="15" thickBot="1" x14ac:dyDescent="0.35">
      <c r="A30" s="103" t="s">
        <v>115</v>
      </c>
      <c r="B30" s="103"/>
      <c r="F30" s="101">
        <f>IF((1.2*F25)-(F21)&gt;0,(1.2*F25)-(F21),0)</f>
        <v>0</v>
      </c>
      <c r="H30" s="89"/>
      <c r="J30" s="89"/>
      <c r="L30" s="89"/>
      <c r="R30" s="101">
        <f>IF(R25-R21&gt;0,R25-R20,0)</f>
        <v>0</v>
      </c>
      <c r="Z30" s="3"/>
      <c r="AA30" s="3"/>
      <c r="AB30" s="3"/>
      <c r="AC30" s="3"/>
      <c r="AD30" s="3"/>
      <c r="AE30" s="3"/>
    </row>
    <row r="31" spans="1:33" ht="15" thickTop="1" x14ac:dyDescent="0.3">
      <c r="A31" s="103"/>
      <c r="B31" s="103"/>
      <c r="F31" s="89"/>
      <c r="H31" s="89"/>
      <c r="J31" s="89"/>
      <c r="L31" s="89"/>
      <c r="R31" s="89"/>
      <c r="Y31" t="s">
        <v>116</v>
      </c>
      <c r="Z31" s="3">
        <f>SUM(Z24:Z30)</f>
        <v>-787836</v>
      </c>
      <c r="AA31" s="3"/>
      <c r="AB31" s="3"/>
      <c r="AC31" s="3">
        <f>SUM(AC24:AC30)</f>
        <v>-812955</v>
      </c>
      <c r="AD31" s="3"/>
      <c r="AE31" s="3"/>
    </row>
    <row r="32" spans="1:33" x14ac:dyDescent="0.3">
      <c r="A32" s="103"/>
      <c r="B32" s="103"/>
      <c r="F32" s="89"/>
      <c r="H32" s="89"/>
      <c r="J32" s="89"/>
      <c r="L32" s="89"/>
      <c r="R32" s="100"/>
      <c r="Z32" s="3"/>
      <c r="AA32" s="3"/>
      <c r="AB32" s="3"/>
      <c r="AC32" s="3"/>
      <c r="AD32" s="3"/>
      <c r="AE32" s="3"/>
    </row>
    <row r="33" spans="1:31" ht="13.5" customHeight="1" x14ac:dyDescent="0.3">
      <c r="A33" s="104" t="s">
        <v>74</v>
      </c>
      <c r="B33" s="105" t="s">
        <v>117</v>
      </c>
      <c r="C33" s="106"/>
      <c r="D33" s="107"/>
      <c r="E33" s="106"/>
      <c r="F33" s="107"/>
      <c r="G33" s="106"/>
      <c r="H33" s="107"/>
      <c r="J33" s="107"/>
      <c r="L33" s="107"/>
      <c r="Z33" s="3"/>
      <c r="AA33" s="3"/>
      <c r="AB33" s="3"/>
      <c r="AC33" s="3"/>
      <c r="AD33" s="3"/>
      <c r="AE33" s="3"/>
    </row>
    <row r="34" spans="1:31" ht="13.5" customHeight="1" x14ac:dyDescent="0.3">
      <c r="A34" s="107"/>
      <c r="B34" s="108" t="s">
        <v>118</v>
      </c>
      <c r="C34" s="109"/>
      <c r="D34" s="104"/>
      <c r="E34" s="104"/>
      <c r="F34" s="110">
        <v>1065708</v>
      </c>
      <c r="G34" s="109"/>
      <c r="H34" s="110">
        <v>932756.48341432889</v>
      </c>
      <c r="J34" s="110">
        <v>870546.11242660449</v>
      </c>
      <c r="L34" s="110">
        <v>1412556</v>
      </c>
      <c r="R34" s="110">
        <v>1065708</v>
      </c>
      <c r="Z34" s="3"/>
      <c r="AA34" s="3"/>
      <c r="AB34" s="3"/>
      <c r="AC34" s="3"/>
      <c r="AD34" s="3"/>
      <c r="AE34" s="3"/>
    </row>
    <row r="35" spans="1:31" ht="13.5" customHeight="1" x14ac:dyDescent="0.3">
      <c r="A35" s="107"/>
      <c r="B35" s="108" t="s">
        <v>119</v>
      </c>
      <c r="C35" s="109"/>
      <c r="D35" s="104"/>
      <c r="E35" s="104"/>
      <c r="F35" s="109">
        <f>-F9</f>
        <v>-19713</v>
      </c>
      <c r="G35" s="109"/>
      <c r="H35" s="109">
        <v>-24825</v>
      </c>
      <c r="J35" s="109">
        <v>-24825</v>
      </c>
      <c r="L35" s="109">
        <f>-L9</f>
        <v>-33204</v>
      </c>
      <c r="R35" s="109">
        <f>-R9</f>
        <v>-19713</v>
      </c>
      <c r="Z35" s="3"/>
      <c r="AA35" s="3"/>
      <c r="AB35" s="3"/>
      <c r="AC35" s="3"/>
      <c r="AD35" s="3"/>
      <c r="AE35" s="3"/>
    </row>
    <row r="36" spans="1:31" ht="13.5" customHeight="1" x14ac:dyDescent="0.3">
      <c r="A36" s="107"/>
      <c r="B36" s="108" t="s">
        <v>120</v>
      </c>
      <c r="C36" s="109"/>
      <c r="D36" s="104"/>
      <c r="E36" s="104"/>
      <c r="F36" s="109">
        <f>-F11</f>
        <v>-448195</v>
      </c>
      <c r="G36" s="109"/>
      <c r="H36" s="109">
        <v>-359622</v>
      </c>
      <c r="J36" s="109">
        <v>-283976.83870967745</v>
      </c>
      <c r="L36" s="109">
        <f>-L12</f>
        <v>-833331</v>
      </c>
      <c r="R36" s="109">
        <f>-R11</f>
        <v>-448195</v>
      </c>
    </row>
    <row r="37" spans="1:31" ht="13.5" customHeight="1" thickBot="1" x14ac:dyDescent="0.35">
      <c r="A37" s="107"/>
      <c r="B37" s="108" t="s">
        <v>121</v>
      </c>
      <c r="C37" s="109"/>
      <c r="D37" s="104"/>
      <c r="E37" s="104"/>
      <c r="F37" s="111">
        <f>SUM(F34:F36)</f>
        <v>597800</v>
      </c>
      <c r="G37" s="109"/>
      <c r="H37" s="111">
        <v>548309.48341432889</v>
      </c>
      <c r="J37" s="111">
        <v>561744.27371692704</v>
      </c>
      <c r="L37" s="111">
        <f>SUM(L34:L36)</f>
        <v>546021</v>
      </c>
      <c r="R37" s="111">
        <f>SUM(R34:R36)</f>
        <v>597800</v>
      </c>
      <c r="Y37" s="5"/>
    </row>
    <row r="38" spans="1:31" ht="7.5" customHeight="1" thickTop="1" x14ac:dyDescent="0.3">
      <c r="A38" s="105"/>
      <c r="B38" s="105"/>
      <c r="C38" s="106"/>
      <c r="D38" s="107"/>
      <c r="E38" s="106"/>
      <c r="F38" s="107"/>
      <c r="G38" s="106"/>
      <c r="H38" s="107"/>
      <c r="J38" s="107"/>
      <c r="L38" s="107"/>
    </row>
    <row r="39" spans="1:31" ht="13.5" customHeight="1" x14ac:dyDescent="0.3">
      <c r="A39" s="104" t="s">
        <v>76</v>
      </c>
      <c r="B39" s="105" t="s">
        <v>122</v>
      </c>
      <c r="C39" s="106"/>
      <c r="D39" s="107"/>
      <c r="E39" s="106"/>
      <c r="F39" s="107"/>
      <c r="G39" s="106"/>
      <c r="H39" s="107"/>
      <c r="J39" s="107"/>
      <c r="L39" s="107"/>
      <c r="S39" s="56"/>
      <c r="T39" s="56"/>
      <c r="U39" s="56"/>
      <c r="V39" s="56"/>
    </row>
    <row r="40" spans="1:31" ht="7.5" customHeight="1" x14ac:dyDescent="0.3">
      <c r="A40" s="105"/>
      <c r="B40" s="105"/>
      <c r="C40" s="106"/>
      <c r="D40" s="107"/>
      <c r="E40" s="106"/>
      <c r="F40" s="107"/>
      <c r="G40" s="106"/>
      <c r="H40" s="107"/>
      <c r="J40" s="107"/>
      <c r="L40" s="107"/>
      <c r="S40" s="56"/>
      <c r="T40" s="56"/>
      <c r="U40" s="56"/>
      <c r="V40" s="56"/>
    </row>
    <row r="41" spans="1:31" ht="13.5" customHeight="1" x14ac:dyDescent="0.3">
      <c r="A41" s="104" t="s">
        <v>78</v>
      </c>
      <c r="B41" s="105" t="s">
        <v>123</v>
      </c>
      <c r="C41" s="106"/>
      <c r="D41" s="107"/>
      <c r="E41" s="106"/>
      <c r="F41" s="107"/>
      <c r="G41" s="106"/>
      <c r="H41" s="107"/>
      <c r="J41" s="107"/>
      <c r="L41" s="107"/>
      <c r="S41" s="56"/>
      <c r="T41" s="56"/>
      <c r="U41" s="56"/>
      <c r="V41" s="56"/>
    </row>
    <row r="42" spans="1:31" ht="7.5" customHeight="1" x14ac:dyDescent="0.3">
      <c r="A42" s="107"/>
      <c r="B42" s="105"/>
      <c r="C42" s="106"/>
      <c r="D42" s="107"/>
      <c r="E42" s="106"/>
      <c r="F42" s="107"/>
      <c r="G42" s="106"/>
      <c r="H42" s="107"/>
      <c r="J42" s="107"/>
      <c r="L42" s="107"/>
      <c r="S42" s="53"/>
    </row>
    <row r="43" spans="1:31" ht="13.5" hidden="1" customHeight="1" x14ac:dyDescent="0.3">
      <c r="A43" s="104" t="s">
        <v>81</v>
      </c>
      <c r="B43" s="107" t="s">
        <v>124</v>
      </c>
      <c r="C43" s="112"/>
      <c r="D43" s="107"/>
      <c r="E43" s="112"/>
      <c r="F43" s="107"/>
      <c r="G43" s="112"/>
      <c r="H43" s="107"/>
      <c r="J43" s="107"/>
      <c r="L43" s="107"/>
    </row>
    <row r="44" spans="1:31" ht="13.5" hidden="1" customHeight="1" x14ac:dyDescent="0.3">
      <c r="A44" s="113"/>
      <c r="B44" s="108" t="s">
        <v>125</v>
      </c>
      <c r="C44" s="104"/>
      <c r="D44" s="104"/>
      <c r="E44" s="109"/>
      <c r="F44" s="110">
        <v>0</v>
      </c>
      <c r="G44" s="104"/>
      <c r="H44" s="107"/>
      <c r="J44" s="110">
        <v>0</v>
      </c>
      <c r="L44" s="110">
        <v>0</v>
      </c>
    </row>
    <row r="45" spans="1:31" ht="13.5" hidden="1" customHeight="1" x14ac:dyDescent="0.3">
      <c r="A45" s="113"/>
      <c r="B45" s="108" t="s">
        <v>126</v>
      </c>
      <c r="C45" s="104"/>
      <c r="D45" s="104"/>
      <c r="E45" s="109"/>
      <c r="F45" s="110">
        <v>175000</v>
      </c>
      <c r="G45" s="104"/>
      <c r="H45" s="109">
        <v>0</v>
      </c>
      <c r="J45" s="109">
        <v>0</v>
      </c>
      <c r="L45" s="110">
        <f>L13</f>
        <v>360000</v>
      </c>
      <c r="R45" s="114"/>
    </row>
    <row r="46" spans="1:31" ht="13.5" hidden="1" customHeight="1" thickBot="1" x14ac:dyDescent="0.35">
      <c r="A46" s="113"/>
      <c r="B46" s="107"/>
      <c r="C46" s="104"/>
      <c r="D46" s="104"/>
      <c r="E46" s="109"/>
      <c r="F46" s="111">
        <f>SUM(F43:F45)</f>
        <v>175000</v>
      </c>
      <c r="G46" s="112"/>
      <c r="H46" s="111">
        <v>0</v>
      </c>
      <c r="J46" s="111">
        <v>0</v>
      </c>
      <c r="L46" s="111">
        <f>L45</f>
        <v>360000</v>
      </c>
      <c r="R46" s="114"/>
    </row>
    <row r="47" spans="1:31" ht="7.5" hidden="1" customHeight="1" x14ac:dyDescent="0.3">
      <c r="A47" s="105"/>
      <c r="B47" s="105"/>
      <c r="C47" s="106"/>
      <c r="D47" s="107"/>
      <c r="E47" s="106"/>
      <c r="F47" s="107"/>
      <c r="G47" s="106"/>
      <c r="H47" s="110"/>
      <c r="J47" s="107"/>
      <c r="L47" s="107"/>
    </row>
    <row r="48" spans="1:31" ht="13.5" customHeight="1" x14ac:dyDescent="0.3">
      <c r="A48" s="104" t="s">
        <v>94</v>
      </c>
      <c r="B48" s="107" t="s">
        <v>127</v>
      </c>
      <c r="C48" s="106"/>
      <c r="D48" s="107"/>
      <c r="E48" s="109"/>
      <c r="F48" s="107"/>
      <c r="G48" s="104"/>
      <c r="H48" s="107"/>
      <c r="J48" s="107"/>
      <c r="L48" s="107"/>
    </row>
    <row r="49" spans="1:22" ht="13.5" customHeight="1" x14ac:dyDescent="0.3">
      <c r="A49" s="107"/>
      <c r="B49" s="108" t="s">
        <v>128</v>
      </c>
      <c r="C49" s="104"/>
      <c r="D49" s="104"/>
      <c r="E49" s="109"/>
      <c r="F49" s="109">
        <v>63263.17</v>
      </c>
      <c r="G49" s="104"/>
      <c r="H49" s="109">
        <v>63263.17</v>
      </c>
      <c r="J49" s="109">
        <v>63263.17</v>
      </c>
      <c r="L49" s="109">
        <v>248293</v>
      </c>
      <c r="R49" s="109">
        <v>63263.17</v>
      </c>
      <c r="S49" s="130"/>
      <c r="T49" s="9"/>
    </row>
    <row r="50" spans="1:22" ht="13.5" customHeight="1" x14ac:dyDescent="0.3">
      <c r="A50" s="107"/>
      <c r="B50" s="108" t="s">
        <v>129</v>
      </c>
      <c r="C50" s="104"/>
      <c r="D50" s="104"/>
      <c r="E50" s="109"/>
      <c r="F50" s="109">
        <v>223263</v>
      </c>
      <c r="G50" s="104"/>
      <c r="H50" s="109">
        <v>265380.29417370853</v>
      </c>
      <c r="J50" s="109">
        <v>274102.65094350907</v>
      </c>
      <c r="L50" s="109">
        <v>0</v>
      </c>
      <c r="R50" s="109">
        <v>223263</v>
      </c>
      <c r="S50" s="130"/>
      <c r="T50" s="9"/>
      <c r="U50" s="9"/>
      <c r="V50" s="9"/>
    </row>
    <row r="51" spans="1:22" ht="13.5" customHeight="1" thickBot="1" x14ac:dyDescent="0.35">
      <c r="A51" s="107"/>
      <c r="B51" s="107"/>
      <c r="C51" s="104"/>
      <c r="D51" s="104"/>
      <c r="E51" s="109"/>
      <c r="F51" s="111">
        <f>SUM(F49:F50)</f>
        <v>286526.17</v>
      </c>
      <c r="G51" s="104"/>
      <c r="H51" s="111">
        <v>328643.46417370852</v>
      </c>
      <c r="J51" s="111">
        <v>337365.82094350905</v>
      </c>
      <c r="L51" s="111">
        <f>SUM(L49:L50)</f>
        <v>248293</v>
      </c>
      <c r="R51" s="111">
        <f>SUM(R49:R50)</f>
        <v>286526.17</v>
      </c>
      <c r="S51" s="131"/>
      <c r="T51" s="132"/>
    </row>
    <row r="52" spans="1:22" ht="7.5" customHeight="1" thickTop="1" x14ac:dyDescent="0.3">
      <c r="A52" s="105"/>
      <c r="B52" s="105"/>
      <c r="C52" s="106"/>
      <c r="D52" s="107"/>
      <c r="E52" s="106"/>
      <c r="F52" s="107"/>
      <c r="G52" s="106"/>
      <c r="H52" s="110"/>
      <c r="J52" s="107"/>
      <c r="L52" s="107"/>
    </row>
    <row r="53" spans="1:22" ht="13.5" customHeight="1" x14ac:dyDescent="0.3">
      <c r="A53" s="104" t="s">
        <v>102</v>
      </c>
      <c r="B53" s="107" t="s">
        <v>130</v>
      </c>
      <c r="C53" s="106"/>
      <c r="D53" s="107"/>
      <c r="E53" s="106"/>
      <c r="F53" s="107"/>
      <c r="G53" s="104"/>
      <c r="H53" s="110"/>
      <c r="J53" s="107"/>
      <c r="L53" s="107"/>
    </row>
    <row r="54" spans="1:22" ht="13.5" customHeight="1" x14ac:dyDescent="0.3">
      <c r="A54" s="107"/>
      <c r="B54" s="108" t="s">
        <v>128</v>
      </c>
      <c r="C54" s="104"/>
      <c r="D54" s="104"/>
      <c r="E54" s="109"/>
      <c r="F54" s="109">
        <v>69392</v>
      </c>
      <c r="G54" s="104"/>
      <c r="H54" s="109">
        <v>91127.72</v>
      </c>
      <c r="J54" s="109">
        <v>91127.72</v>
      </c>
      <c r="L54" s="109">
        <v>368855</v>
      </c>
      <c r="R54" s="109">
        <v>69392</v>
      </c>
      <c r="S54" s="130"/>
      <c r="T54" s="9"/>
    </row>
    <row r="55" spans="1:22" ht="13.5" customHeight="1" x14ac:dyDescent="0.3">
      <c r="A55" s="107"/>
      <c r="B55" s="108" t="s">
        <v>129</v>
      </c>
      <c r="C55" s="104"/>
      <c r="D55" s="104"/>
      <c r="E55" s="109"/>
      <c r="F55" s="109">
        <v>435853</v>
      </c>
      <c r="G55" s="104"/>
      <c r="H55" s="109">
        <v>408757.48341432895</v>
      </c>
      <c r="J55" s="109">
        <v>422192.27371692704</v>
      </c>
      <c r="L55" s="109">
        <v>0</v>
      </c>
      <c r="R55" s="109">
        <v>435853</v>
      </c>
      <c r="S55" s="130"/>
      <c r="T55" s="9"/>
      <c r="U55" s="9"/>
      <c r="V55" s="9"/>
    </row>
    <row r="56" spans="1:22" ht="13.5" customHeight="1" thickBot="1" x14ac:dyDescent="0.35">
      <c r="A56" s="115"/>
      <c r="B56" s="107"/>
      <c r="C56" s="104"/>
      <c r="D56" s="104"/>
      <c r="E56" s="109"/>
      <c r="F56" s="111">
        <f>SUM(F54:F55)</f>
        <v>505245</v>
      </c>
      <c r="G56" s="112"/>
      <c r="H56" s="111">
        <v>499885.20341432898</v>
      </c>
      <c r="J56" s="111">
        <v>513319.99371692701</v>
      </c>
      <c r="L56" s="111">
        <f>SUM(L54:L55)</f>
        <v>368855</v>
      </c>
      <c r="R56" s="111">
        <f>SUM(R54:R55)</f>
        <v>505245</v>
      </c>
      <c r="S56" s="131"/>
      <c r="T56" s="132"/>
    </row>
    <row r="57" spans="1:22" ht="7.5" customHeight="1" thickTop="1" x14ac:dyDescent="0.3">
      <c r="A57" s="90"/>
      <c r="B57" s="90"/>
    </row>
    <row r="58" spans="1:22" ht="15.6" x14ac:dyDescent="0.3">
      <c r="A58" s="116"/>
      <c r="B58" s="116"/>
      <c r="C58" s="117"/>
      <c r="E58" s="117"/>
      <c r="F58" s="118"/>
      <c r="G58" s="117"/>
      <c r="L58" s="118"/>
    </row>
    <row r="59" spans="1:22" ht="15.6" customHeight="1" x14ac:dyDescent="0.3">
      <c r="A59" s="119"/>
      <c r="B59" s="119"/>
      <c r="C59" s="119"/>
      <c r="E59" s="117"/>
      <c r="F59" s="118"/>
      <c r="G59" s="117"/>
      <c r="L59" s="118"/>
    </row>
    <row r="60" spans="1:22" ht="15.6" customHeight="1" x14ac:dyDescent="0.3">
      <c r="A60" s="119"/>
      <c r="B60" s="119"/>
      <c r="C60" s="119"/>
      <c r="E60" s="120"/>
      <c r="F60" s="118"/>
      <c r="G60" s="120"/>
      <c r="L60" s="118"/>
    </row>
    <row r="61" spans="1:22" ht="15.6" customHeight="1" x14ac:dyDescent="0.3">
      <c r="A61" s="119"/>
      <c r="B61" s="121"/>
      <c r="C61" s="121"/>
      <c r="E61" s="120"/>
      <c r="F61" s="118"/>
      <c r="G61" s="120"/>
      <c r="L61" s="118"/>
    </row>
    <row r="62" spans="1:22" ht="15.6" x14ac:dyDescent="0.3">
      <c r="A62" s="121"/>
      <c r="B62" s="122"/>
      <c r="C62" s="122"/>
      <c r="D62" s="118"/>
      <c r="E62" s="120"/>
      <c r="G62" s="120"/>
    </row>
    <row r="67" spans="1:12" ht="15.6" x14ac:dyDescent="0.3">
      <c r="D67" s="118"/>
    </row>
    <row r="68" spans="1:12" ht="15.6" x14ac:dyDescent="0.3">
      <c r="D68" s="118"/>
    </row>
    <row r="72" spans="1:12" ht="19.2" x14ac:dyDescent="0.6">
      <c r="A72" s="123"/>
      <c r="B72" s="123"/>
      <c r="C72" s="124"/>
      <c r="E72" s="124"/>
      <c r="F72" s="125"/>
      <c r="G72" s="124"/>
      <c r="L72" s="125"/>
    </row>
    <row r="73" spans="1:12" ht="15.6" x14ac:dyDescent="0.3">
      <c r="A73" s="126"/>
      <c r="B73" s="126"/>
      <c r="C73" s="127"/>
      <c r="D73" s="118"/>
      <c r="E73" s="127"/>
      <c r="G73" s="127"/>
    </row>
    <row r="74" spans="1:12" ht="16.8" x14ac:dyDescent="0.4">
      <c r="A74" s="126"/>
      <c r="B74" s="126"/>
      <c r="C74" s="127"/>
      <c r="D74" s="128"/>
      <c r="E74" s="127"/>
      <c r="G74" s="127"/>
    </row>
    <row r="75" spans="1:12" ht="16.8" x14ac:dyDescent="0.4">
      <c r="A75" s="126"/>
      <c r="B75" s="126"/>
      <c r="C75" s="127"/>
      <c r="D75" s="129"/>
      <c r="E75" s="127"/>
      <c r="G75" s="127"/>
    </row>
  </sheetData>
  <mergeCells count="2">
    <mergeCell ref="A1:R1"/>
    <mergeCell ref="A2:R2"/>
  </mergeCells>
  <pageMargins left="0.7" right="0.7" top="0.75" bottom="0.75" header="0.3" footer="0.3"/>
  <pageSetup scale="92" orientation="portrait" r:id="rId1"/>
  <headerFooter>
    <oddHeader>&amp;LDelivered 03.23.2018</oddHeader>
  </headerFooter>
  <colBreaks count="2" manualBreakCount="2">
    <brk id="7" max="55" man="1"/>
    <brk id="18"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48"/>
  <sheetViews>
    <sheetView workbookViewId="0">
      <pane xSplit="2" ySplit="6" topLeftCell="C7" activePane="bottomRight" state="frozen"/>
      <selection pane="topRight"/>
      <selection pane="bottomLeft"/>
      <selection pane="bottomRight" activeCell="C6" sqref="C6"/>
    </sheetView>
  </sheetViews>
  <sheetFormatPr defaultColWidth="9.109375" defaultRowHeight="18" x14ac:dyDescent="0.35"/>
  <cols>
    <col min="1" max="1" width="3.109375" customWidth="1"/>
    <col min="2" max="2" width="64.6640625" style="6" customWidth="1"/>
    <col min="3" max="14" width="10.44140625" style="6" customWidth="1"/>
    <col min="15" max="15" width="10.6640625" style="6" bestFit="1" customWidth="1"/>
    <col min="16" max="16" width="39" style="6" bestFit="1" customWidth="1"/>
    <col min="17" max="17" width="51.33203125" style="6" bestFit="1" customWidth="1"/>
    <col min="18" max="22" width="9.109375" style="6"/>
    <col min="23" max="23" width="9.109375" style="6" customWidth="1"/>
    <col min="24" max="25" width="9.109375" style="6"/>
    <col min="26" max="26" width="9.109375" style="6" customWidth="1"/>
    <col min="27" max="16384" width="9.109375" style="6"/>
  </cols>
  <sheetData>
    <row r="1" spans="1:17" ht="23.4" x14ac:dyDescent="0.35">
      <c r="A1" s="180"/>
      <c r="B1" s="222" t="str">
        <f>Instructions!E4</f>
        <v>[Enter Company Name]</v>
      </c>
      <c r="C1" s="222"/>
      <c r="D1" s="222"/>
      <c r="E1" s="222"/>
      <c r="F1" s="222"/>
      <c r="G1" s="222"/>
      <c r="H1" s="222"/>
      <c r="I1" s="222"/>
      <c r="J1" s="222"/>
      <c r="K1" s="222"/>
      <c r="L1" s="222"/>
      <c r="M1" s="222"/>
      <c r="N1" s="222"/>
      <c r="O1" s="222"/>
      <c r="P1" s="222"/>
      <c r="Q1" s="222"/>
    </row>
    <row r="2" spans="1:17" ht="23.4" x14ac:dyDescent="0.35">
      <c r="A2" s="180"/>
      <c r="B2" s="222" t="s">
        <v>131</v>
      </c>
      <c r="C2" s="222"/>
      <c r="D2" s="222"/>
      <c r="E2" s="222"/>
      <c r="F2" s="222"/>
      <c r="G2" s="222"/>
      <c r="H2" s="222"/>
      <c r="I2" s="222"/>
      <c r="J2" s="222"/>
      <c r="K2" s="222"/>
      <c r="L2" s="222"/>
      <c r="M2" s="222"/>
      <c r="N2" s="222"/>
      <c r="O2" s="222"/>
      <c r="P2" s="222"/>
      <c r="Q2" s="222"/>
    </row>
    <row r="3" spans="1:17" ht="22.5" customHeight="1" x14ac:dyDescent="0.35">
      <c r="A3" s="180"/>
      <c r="B3" s="222"/>
      <c r="C3" s="222"/>
      <c r="D3" s="222"/>
      <c r="E3" s="222"/>
      <c r="F3" s="222"/>
      <c r="G3" s="222"/>
      <c r="H3" s="222"/>
      <c r="I3" s="222"/>
      <c r="J3" s="222"/>
      <c r="K3" s="222"/>
      <c r="L3" s="222"/>
      <c r="M3" s="222"/>
      <c r="N3" s="222"/>
      <c r="O3" s="222"/>
      <c r="P3" s="222"/>
      <c r="Q3" s="222"/>
    </row>
    <row r="4" spans="1:17" x14ac:dyDescent="0.35">
      <c r="A4" s="180"/>
      <c r="B4" s="185" t="s">
        <v>132</v>
      </c>
      <c r="C4" s="185" t="s">
        <v>133</v>
      </c>
      <c r="D4" s="186"/>
      <c r="E4" s="186"/>
      <c r="F4" s="148"/>
      <c r="G4" s="148"/>
      <c r="H4" s="148"/>
      <c r="I4" s="148"/>
      <c r="J4" s="148"/>
      <c r="K4" s="148"/>
      <c r="L4" s="148"/>
      <c r="M4" s="148"/>
      <c r="N4" s="148"/>
      <c r="O4" s="148"/>
      <c r="P4" s="148"/>
      <c r="Q4" s="148"/>
    </row>
    <row r="5" spans="1:17" x14ac:dyDescent="0.35">
      <c r="A5" s="180"/>
      <c r="B5" s="175" t="s">
        <v>134</v>
      </c>
      <c r="C5" s="183">
        <v>45809</v>
      </c>
      <c r="D5" s="177">
        <f>C5+7</f>
        <v>45816</v>
      </c>
      <c r="E5" s="177">
        <f t="shared" ref="E5:O5" si="0">D5+7</f>
        <v>45823</v>
      </c>
      <c r="F5" s="177">
        <f t="shared" si="0"/>
        <v>45830</v>
      </c>
      <c r="G5" s="177">
        <f t="shared" si="0"/>
        <v>45837</v>
      </c>
      <c r="H5" s="177">
        <f t="shared" si="0"/>
        <v>45844</v>
      </c>
      <c r="I5" s="177">
        <f t="shared" si="0"/>
        <v>45851</v>
      </c>
      <c r="J5" s="177">
        <f t="shared" si="0"/>
        <v>45858</v>
      </c>
      <c r="K5" s="177">
        <f t="shared" si="0"/>
        <v>45865</v>
      </c>
      <c r="L5" s="177">
        <f t="shared" si="0"/>
        <v>45872</v>
      </c>
      <c r="M5" s="177">
        <f t="shared" si="0"/>
        <v>45879</v>
      </c>
      <c r="N5" s="177">
        <f t="shared" si="0"/>
        <v>45886</v>
      </c>
      <c r="O5" s="177">
        <f t="shared" si="0"/>
        <v>45893</v>
      </c>
      <c r="P5" s="148"/>
      <c r="Q5" s="148"/>
    </row>
    <row r="6" spans="1:17" s="135" customFormat="1" x14ac:dyDescent="0.3">
      <c r="A6" s="180"/>
      <c r="B6" s="181" t="s">
        <v>135</v>
      </c>
      <c r="C6" s="181" t="s">
        <v>136</v>
      </c>
      <c r="D6" s="181" t="s">
        <v>137</v>
      </c>
      <c r="E6" s="181" t="s">
        <v>138</v>
      </c>
      <c r="F6" s="181" t="s">
        <v>139</v>
      </c>
      <c r="G6" s="181" t="s">
        <v>140</v>
      </c>
      <c r="H6" s="181" t="s">
        <v>141</v>
      </c>
      <c r="I6" s="181" t="s">
        <v>142</v>
      </c>
      <c r="J6" s="181" t="s">
        <v>143</v>
      </c>
      <c r="K6" s="181" t="s">
        <v>144</v>
      </c>
      <c r="L6" s="181" t="s">
        <v>145</v>
      </c>
      <c r="M6" s="181" t="s">
        <v>146</v>
      </c>
      <c r="N6" s="181" t="s">
        <v>147</v>
      </c>
      <c r="O6" s="181" t="s">
        <v>148</v>
      </c>
      <c r="P6" s="181" t="s">
        <v>149</v>
      </c>
      <c r="Q6" s="181" t="s">
        <v>150</v>
      </c>
    </row>
    <row r="7" spans="1:17" x14ac:dyDescent="0.35">
      <c r="A7" s="180"/>
      <c r="B7" s="195" t="s">
        <v>151</v>
      </c>
      <c r="C7" s="182"/>
      <c r="D7" s="182"/>
      <c r="E7" s="182"/>
      <c r="F7" s="182"/>
      <c r="G7" s="182"/>
      <c r="H7" s="182"/>
      <c r="I7" s="182"/>
      <c r="J7" s="182"/>
      <c r="K7" s="182"/>
      <c r="L7" s="182"/>
      <c r="M7" s="182"/>
      <c r="N7" s="182"/>
      <c r="O7" s="182"/>
      <c r="P7" s="182"/>
      <c r="Q7" s="182"/>
    </row>
    <row r="8" spans="1:17" x14ac:dyDescent="0.35">
      <c r="A8" s="180"/>
      <c r="B8" s="195" t="s">
        <v>152</v>
      </c>
      <c r="C8" s="182"/>
      <c r="D8" s="182"/>
      <c r="E8" s="182"/>
      <c r="F8" s="182"/>
      <c r="G8" s="182"/>
      <c r="H8" s="182"/>
      <c r="I8" s="182"/>
      <c r="J8" s="182"/>
      <c r="K8" s="182"/>
      <c r="L8" s="182"/>
      <c r="M8" s="182"/>
      <c r="N8" s="182"/>
      <c r="O8" s="182"/>
      <c r="P8" s="182"/>
      <c r="Q8" s="182"/>
    </row>
    <row r="9" spans="1:17" x14ac:dyDescent="0.35">
      <c r="A9" s="180"/>
      <c r="B9" s="195" t="s">
        <v>153</v>
      </c>
      <c r="C9" s="182"/>
      <c r="D9" s="182"/>
      <c r="E9" s="182"/>
      <c r="F9" s="182"/>
      <c r="G9" s="182"/>
      <c r="H9" s="182"/>
      <c r="I9" s="182"/>
      <c r="J9" s="182"/>
      <c r="K9" s="182"/>
      <c r="L9" s="182"/>
      <c r="M9" s="182"/>
      <c r="N9" s="182"/>
      <c r="O9" s="182"/>
      <c r="P9" s="182"/>
      <c r="Q9" s="182"/>
    </row>
    <row r="10" spans="1:17" x14ac:dyDescent="0.35">
      <c r="A10" s="180"/>
      <c r="B10" s="195" t="s">
        <v>154</v>
      </c>
      <c r="C10" s="182"/>
      <c r="D10" s="182"/>
      <c r="E10" s="182"/>
      <c r="F10" s="182"/>
      <c r="G10" s="182"/>
      <c r="H10" s="182"/>
      <c r="I10" s="182"/>
      <c r="J10" s="182"/>
      <c r="K10" s="182"/>
      <c r="L10" s="182"/>
      <c r="M10" s="182"/>
      <c r="N10" s="182"/>
      <c r="O10" s="182"/>
      <c r="P10" s="182"/>
      <c r="Q10" s="182"/>
    </row>
    <row r="11" spans="1:17" x14ac:dyDescent="0.35">
      <c r="A11" s="180"/>
      <c r="B11" s="195" t="s">
        <v>155</v>
      </c>
      <c r="C11" s="182"/>
      <c r="D11" s="182"/>
      <c r="E11" s="182"/>
      <c r="F11" s="182"/>
      <c r="G11" s="182"/>
      <c r="H11" s="182"/>
      <c r="I11" s="182"/>
      <c r="J11" s="182"/>
      <c r="K11" s="182"/>
      <c r="L11" s="182"/>
      <c r="M11" s="182"/>
      <c r="N11" s="182"/>
      <c r="O11" s="182"/>
      <c r="P11" s="182"/>
      <c r="Q11" s="182"/>
    </row>
    <row r="12" spans="1:17" x14ac:dyDescent="0.35">
      <c r="A12" s="180"/>
      <c r="B12" s="195" t="s">
        <v>156</v>
      </c>
      <c r="C12" s="182"/>
      <c r="D12" s="182"/>
      <c r="E12" s="182"/>
      <c r="F12" s="182"/>
      <c r="G12" s="182"/>
      <c r="H12" s="182"/>
      <c r="I12" s="182"/>
      <c r="J12" s="182"/>
      <c r="K12" s="182"/>
      <c r="L12" s="182"/>
      <c r="M12" s="182"/>
      <c r="N12" s="182"/>
      <c r="O12" s="182"/>
      <c r="P12" s="182"/>
      <c r="Q12" s="182"/>
    </row>
    <row r="13" spans="1:17" x14ac:dyDescent="0.35">
      <c r="A13" s="180"/>
      <c r="B13" s="195" t="s">
        <v>157</v>
      </c>
      <c r="C13" s="182"/>
      <c r="D13" s="182"/>
      <c r="E13" s="182"/>
      <c r="F13" s="182"/>
      <c r="G13" s="182"/>
      <c r="H13" s="182"/>
      <c r="I13" s="182"/>
      <c r="J13" s="182"/>
      <c r="K13" s="182"/>
      <c r="L13" s="182"/>
      <c r="M13" s="182"/>
      <c r="N13" s="182"/>
      <c r="O13" s="182"/>
      <c r="P13" s="182"/>
      <c r="Q13" s="182"/>
    </row>
    <row r="14" spans="1:17" x14ac:dyDescent="0.35">
      <c r="A14" s="180"/>
      <c r="B14" s="195" t="s">
        <v>158</v>
      </c>
      <c r="C14" s="182"/>
      <c r="D14" s="182"/>
      <c r="E14" s="182"/>
      <c r="F14" s="182"/>
      <c r="G14" s="182"/>
      <c r="H14" s="182"/>
      <c r="I14" s="182"/>
      <c r="J14" s="182"/>
      <c r="K14" s="182"/>
      <c r="L14" s="182"/>
      <c r="M14" s="182"/>
      <c r="N14" s="182"/>
      <c r="O14" s="182"/>
      <c r="P14" s="182"/>
      <c r="Q14" s="182"/>
    </row>
    <row r="15" spans="1:17" x14ac:dyDescent="0.35">
      <c r="A15" s="180"/>
      <c r="B15" s="195" t="s">
        <v>159</v>
      </c>
      <c r="C15" s="182"/>
      <c r="D15" s="182"/>
      <c r="E15" s="182"/>
      <c r="F15" s="182"/>
      <c r="G15" s="182"/>
      <c r="H15" s="182"/>
      <c r="I15" s="182"/>
      <c r="J15" s="182"/>
      <c r="K15" s="182"/>
      <c r="L15" s="182"/>
      <c r="M15" s="182"/>
      <c r="N15" s="182"/>
      <c r="O15" s="182"/>
      <c r="P15" s="182"/>
      <c r="Q15" s="182"/>
    </row>
    <row r="16" spans="1:17" x14ac:dyDescent="0.35">
      <c r="A16" s="180"/>
      <c r="B16" s="195" t="s">
        <v>160</v>
      </c>
      <c r="C16" s="182"/>
      <c r="D16" s="182"/>
      <c r="E16" s="182"/>
      <c r="F16" s="182"/>
      <c r="G16" s="182"/>
      <c r="H16" s="182"/>
      <c r="I16" s="182"/>
      <c r="J16" s="182"/>
      <c r="K16" s="182"/>
      <c r="L16" s="182"/>
      <c r="M16" s="182"/>
      <c r="N16" s="182"/>
      <c r="O16" s="182"/>
      <c r="P16" s="182"/>
      <c r="Q16" s="182"/>
    </row>
    <row r="17" spans="1:17" x14ac:dyDescent="0.35">
      <c r="A17" s="180"/>
      <c r="B17" s="195" t="s">
        <v>161</v>
      </c>
      <c r="C17" s="182"/>
      <c r="D17" s="182"/>
      <c r="E17" s="182"/>
      <c r="F17" s="182"/>
      <c r="G17" s="182"/>
      <c r="H17" s="182"/>
      <c r="I17" s="182"/>
      <c r="J17" s="182"/>
      <c r="K17" s="182"/>
      <c r="L17" s="182"/>
      <c r="M17" s="182"/>
      <c r="N17" s="182"/>
      <c r="O17" s="182"/>
      <c r="P17" s="182"/>
      <c r="Q17" s="182"/>
    </row>
    <row r="18" spans="1:17" x14ac:dyDescent="0.35">
      <c r="A18" s="180"/>
      <c r="B18" s="195" t="s">
        <v>162</v>
      </c>
      <c r="C18" s="182"/>
      <c r="D18" s="182"/>
      <c r="E18" s="182"/>
      <c r="F18" s="182"/>
      <c r="G18" s="182"/>
      <c r="H18" s="182"/>
      <c r="I18" s="182"/>
      <c r="J18" s="182"/>
      <c r="K18" s="182"/>
      <c r="L18" s="182"/>
      <c r="M18" s="182"/>
      <c r="N18" s="182"/>
      <c r="O18" s="182"/>
      <c r="P18" s="182"/>
      <c r="Q18" s="182"/>
    </row>
    <row r="19" spans="1:17" x14ac:dyDescent="0.35">
      <c r="A19" s="180"/>
      <c r="B19" s="195" t="s">
        <v>163</v>
      </c>
      <c r="C19" s="182"/>
      <c r="D19" s="182"/>
      <c r="E19" s="182"/>
      <c r="F19" s="182"/>
      <c r="G19" s="182"/>
      <c r="H19" s="182"/>
      <c r="I19" s="182"/>
      <c r="J19" s="182"/>
      <c r="K19" s="182"/>
      <c r="L19" s="182"/>
      <c r="M19" s="182"/>
      <c r="N19" s="182"/>
      <c r="O19" s="182"/>
      <c r="P19" s="182"/>
      <c r="Q19" s="182"/>
    </row>
    <row r="20" spans="1:17" x14ac:dyDescent="0.35">
      <c r="A20" s="180"/>
      <c r="B20" s="195" t="s">
        <v>164</v>
      </c>
      <c r="C20" s="182"/>
      <c r="D20" s="182"/>
      <c r="E20" s="182"/>
      <c r="F20" s="182"/>
      <c r="G20" s="182"/>
      <c r="H20" s="182"/>
      <c r="I20" s="182"/>
      <c r="J20" s="182"/>
      <c r="K20" s="182"/>
      <c r="L20" s="182"/>
      <c r="M20" s="182"/>
      <c r="N20" s="182"/>
      <c r="O20" s="182"/>
      <c r="P20" s="182"/>
      <c r="Q20" s="182"/>
    </row>
    <row r="21" spans="1:17" x14ac:dyDescent="0.35">
      <c r="A21" s="180"/>
      <c r="B21" s="195" t="s">
        <v>165</v>
      </c>
      <c r="C21" s="182"/>
      <c r="D21" s="182"/>
      <c r="E21" s="182"/>
      <c r="F21" s="182"/>
      <c r="G21" s="182"/>
      <c r="H21" s="182"/>
      <c r="I21" s="182"/>
      <c r="J21" s="182"/>
      <c r="K21" s="182"/>
      <c r="L21" s="182"/>
      <c r="M21" s="182"/>
      <c r="N21" s="182"/>
      <c r="O21" s="182"/>
      <c r="P21" s="182"/>
      <c r="Q21" s="182"/>
    </row>
    <row r="22" spans="1:17" x14ac:dyDescent="0.35">
      <c r="A22" s="180"/>
      <c r="B22" s="195" t="s">
        <v>166</v>
      </c>
      <c r="C22" s="182"/>
      <c r="D22" s="182"/>
      <c r="E22" s="182"/>
      <c r="F22" s="182"/>
      <c r="G22" s="182"/>
      <c r="H22" s="182"/>
      <c r="I22" s="182"/>
      <c r="J22" s="182"/>
      <c r="K22" s="182"/>
      <c r="L22" s="182"/>
      <c r="M22" s="182"/>
      <c r="N22" s="182"/>
      <c r="O22" s="182"/>
      <c r="P22" s="182"/>
      <c r="Q22" s="182"/>
    </row>
    <row r="23" spans="1:17" x14ac:dyDescent="0.35">
      <c r="A23" s="180"/>
      <c r="B23" s="195" t="s">
        <v>167</v>
      </c>
      <c r="C23" s="182"/>
      <c r="D23" s="182"/>
      <c r="E23" s="182"/>
      <c r="F23" s="182"/>
      <c r="G23" s="182"/>
      <c r="H23" s="182"/>
      <c r="I23" s="182"/>
      <c r="J23" s="182"/>
      <c r="K23" s="182"/>
      <c r="L23" s="182"/>
      <c r="M23" s="182"/>
      <c r="N23" s="182"/>
      <c r="O23" s="182"/>
      <c r="P23" s="182"/>
      <c r="Q23" s="182"/>
    </row>
    <row r="24" spans="1:17" x14ac:dyDescent="0.35">
      <c r="A24" s="180"/>
      <c r="B24" s="195" t="s">
        <v>168</v>
      </c>
      <c r="C24" s="182"/>
      <c r="D24" s="182"/>
      <c r="E24" s="182"/>
      <c r="F24" s="182"/>
      <c r="G24" s="182"/>
      <c r="H24" s="182"/>
      <c r="I24" s="182"/>
      <c r="J24" s="182"/>
      <c r="K24" s="182"/>
      <c r="L24" s="182"/>
      <c r="M24" s="182"/>
      <c r="N24" s="182"/>
      <c r="O24" s="182"/>
      <c r="P24" s="182"/>
      <c r="Q24" s="182"/>
    </row>
    <row r="25" spans="1:17" x14ac:dyDescent="0.35">
      <c r="A25" s="180"/>
      <c r="B25" s="195" t="s">
        <v>169</v>
      </c>
      <c r="C25" s="182"/>
      <c r="D25" s="182"/>
      <c r="E25" s="182"/>
      <c r="F25" s="182"/>
      <c r="G25" s="182"/>
      <c r="H25" s="182"/>
      <c r="I25" s="182"/>
      <c r="J25" s="182"/>
      <c r="K25" s="182"/>
      <c r="L25" s="182"/>
      <c r="M25" s="182"/>
      <c r="N25" s="182"/>
      <c r="O25" s="182"/>
      <c r="P25" s="182"/>
      <c r="Q25" s="182"/>
    </row>
    <row r="26" spans="1:17" x14ac:dyDescent="0.35">
      <c r="A26" s="180"/>
      <c r="B26" s="195" t="s">
        <v>170</v>
      </c>
      <c r="C26" s="182"/>
      <c r="D26" s="182"/>
      <c r="E26" s="182"/>
      <c r="F26" s="182"/>
      <c r="G26" s="182"/>
      <c r="H26" s="182"/>
      <c r="I26" s="182"/>
      <c r="J26" s="182"/>
      <c r="K26" s="182"/>
      <c r="L26" s="182"/>
      <c r="M26" s="182"/>
      <c r="N26" s="182"/>
      <c r="O26" s="182"/>
      <c r="P26" s="182"/>
      <c r="Q26" s="182"/>
    </row>
    <row r="27" spans="1:17" ht="18.600000000000001" thickBot="1" x14ac:dyDescent="0.4">
      <c r="A27" s="180"/>
      <c r="B27" s="182"/>
      <c r="C27" s="182"/>
      <c r="D27" s="182"/>
      <c r="E27" s="182"/>
      <c r="F27" s="182"/>
      <c r="G27" s="182"/>
      <c r="H27" s="182"/>
      <c r="I27" s="182"/>
      <c r="J27" s="182"/>
      <c r="K27" s="182"/>
      <c r="L27" s="182"/>
      <c r="M27" s="182"/>
      <c r="N27" s="182"/>
      <c r="O27" s="182"/>
      <c r="P27" s="182"/>
      <c r="Q27" s="182"/>
    </row>
    <row r="28" spans="1:17" ht="18.600000000000001" thickBot="1" x14ac:dyDescent="0.4">
      <c r="A28" s="180"/>
      <c r="B28" s="154" t="s">
        <v>171</v>
      </c>
      <c r="C28" s="151">
        <f>SUM(C7:C27)</f>
        <v>0</v>
      </c>
      <c r="D28" s="151">
        <f>SUM(D7:D27)</f>
        <v>0</v>
      </c>
      <c r="E28" s="151">
        <f>SUM(E7:E27)</f>
        <v>0</v>
      </c>
      <c r="F28" s="151">
        <f t="shared" ref="F28:O28" si="1">SUM(F7:F27)</f>
        <v>0</v>
      </c>
      <c r="G28" s="151">
        <f t="shared" si="1"/>
        <v>0</v>
      </c>
      <c r="H28" s="151">
        <f t="shared" si="1"/>
        <v>0</v>
      </c>
      <c r="I28" s="151">
        <f t="shared" si="1"/>
        <v>0</v>
      </c>
      <c r="J28" s="151">
        <f t="shared" si="1"/>
        <v>0</v>
      </c>
      <c r="K28" s="151">
        <f t="shared" si="1"/>
        <v>0</v>
      </c>
      <c r="L28" s="151">
        <f t="shared" si="1"/>
        <v>0</v>
      </c>
      <c r="M28" s="151">
        <f t="shared" si="1"/>
        <v>0</v>
      </c>
      <c r="N28" s="151">
        <f t="shared" si="1"/>
        <v>0</v>
      </c>
      <c r="O28" s="151">
        <f t="shared" si="1"/>
        <v>0</v>
      </c>
      <c r="P28" s="151"/>
      <c r="Q28" s="151"/>
    </row>
    <row r="29" spans="1:17" x14ac:dyDescent="0.35">
      <c r="A29" s="180"/>
      <c r="B29" s="145"/>
      <c r="C29" s="152"/>
      <c r="D29" s="152"/>
      <c r="E29" s="152"/>
      <c r="F29" s="152"/>
      <c r="G29" s="152"/>
      <c r="H29" s="152"/>
      <c r="I29" s="152"/>
      <c r="J29" s="152"/>
      <c r="K29" s="152"/>
      <c r="L29" s="152"/>
      <c r="M29" s="152"/>
      <c r="N29" s="152"/>
      <c r="O29" s="152"/>
      <c r="P29" s="146"/>
      <c r="Q29" s="148"/>
    </row>
    <row r="30" spans="1:17" x14ac:dyDescent="0.35">
      <c r="A30" s="180"/>
      <c r="B30" s="145"/>
      <c r="C30" s="152"/>
      <c r="D30" s="152"/>
      <c r="E30" s="152"/>
      <c r="F30" s="152"/>
      <c r="G30" s="152"/>
      <c r="H30" s="152"/>
      <c r="I30" s="152"/>
      <c r="J30" s="152"/>
      <c r="K30" s="152"/>
      <c r="L30" s="152"/>
      <c r="M30" s="152"/>
      <c r="N30" s="152"/>
      <c r="O30" s="152"/>
      <c r="P30" s="146"/>
      <c r="Q30" s="148"/>
    </row>
    <row r="31" spans="1:17" x14ac:dyDescent="0.35">
      <c r="A31" s="180"/>
      <c r="B31" s="184"/>
      <c r="C31" s="184">
        <f>C5</f>
        <v>45809</v>
      </c>
      <c r="D31" s="184">
        <f t="shared" ref="D31:O31" si="2">D5</f>
        <v>45816</v>
      </c>
      <c r="E31" s="184">
        <f t="shared" si="2"/>
        <v>45823</v>
      </c>
      <c r="F31" s="184">
        <f t="shared" si="2"/>
        <v>45830</v>
      </c>
      <c r="G31" s="184">
        <f t="shared" si="2"/>
        <v>45837</v>
      </c>
      <c r="H31" s="184">
        <f t="shared" si="2"/>
        <v>45844</v>
      </c>
      <c r="I31" s="184">
        <f t="shared" si="2"/>
        <v>45851</v>
      </c>
      <c r="J31" s="184">
        <f t="shared" si="2"/>
        <v>45858</v>
      </c>
      <c r="K31" s="184">
        <f t="shared" si="2"/>
        <v>45865</v>
      </c>
      <c r="L31" s="184">
        <f t="shared" si="2"/>
        <v>45872</v>
      </c>
      <c r="M31" s="184">
        <f t="shared" si="2"/>
        <v>45879</v>
      </c>
      <c r="N31" s="184">
        <f t="shared" si="2"/>
        <v>45886</v>
      </c>
      <c r="O31" s="184">
        <f t="shared" si="2"/>
        <v>45893</v>
      </c>
      <c r="P31" s="184"/>
    </row>
    <row r="32" spans="1:17" x14ac:dyDescent="0.35">
      <c r="A32" s="180"/>
      <c r="B32" s="153" t="str">
        <f>Weekly!C18</f>
        <v>A/P Payments</v>
      </c>
      <c r="C32" s="156">
        <f t="shared" ref="C32:C43" si="3">SUMIF($P$7:$P$27,B32,$C$7:$C$27)</f>
        <v>0</v>
      </c>
      <c r="D32" s="156">
        <f t="shared" ref="D32:D43" si="4">SUMIF($P$7:$P$27,B32,$D$7:$D$27)</f>
        <v>0</v>
      </c>
      <c r="E32" s="156">
        <f t="shared" ref="E32:O32" si="5">SUMIF($P$7:$P$27,$B32,E$7:E$27)</f>
        <v>0</v>
      </c>
      <c r="F32" s="156">
        <f t="shared" si="5"/>
        <v>0</v>
      </c>
      <c r="G32" s="156">
        <f t="shared" si="5"/>
        <v>0</v>
      </c>
      <c r="H32" s="156">
        <f t="shared" si="5"/>
        <v>0</v>
      </c>
      <c r="I32" s="156">
        <f t="shared" si="5"/>
        <v>0</v>
      </c>
      <c r="J32" s="156">
        <f t="shared" si="5"/>
        <v>0</v>
      </c>
      <c r="K32" s="156">
        <f t="shared" si="5"/>
        <v>0</v>
      </c>
      <c r="L32" s="156">
        <f t="shared" si="5"/>
        <v>0</v>
      </c>
      <c r="M32" s="156">
        <f t="shared" si="5"/>
        <v>0</v>
      </c>
      <c r="N32" s="156">
        <f t="shared" si="5"/>
        <v>0</v>
      </c>
      <c r="O32" s="156">
        <f t="shared" si="5"/>
        <v>0</v>
      </c>
      <c r="P32" s="155"/>
    </row>
    <row r="33" spans="1:16" x14ac:dyDescent="0.35">
      <c r="A33" s="180"/>
      <c r="B33" s="153" t="str">
        <f>Weekly!C19</f>
        <v>Payroll, incl. taxes and employee benefits</v>
      </c>
      <c r="C33" s="156">
        <f t="shared" si="3"/>
        <v>0</v>
      </c>
      <c r="D33" s="156">
        <f t="shared" si="4"/>
        <v>0</v>
      </c>
      <c r="E33" s="156">
        <f t="shared" ref="E33:E43" si="6">SUMIF($P$7:$P$27,B33,$E$7:$E$27)</f>
        <v>0</v>
      </c>
      <c r="F33" s="156">
        <f t="shared" ref="F33:O43" si="7">SUMIF($P$7:$P$27,$B33,F$7:F$27)</f>
        <v>0</v>
      </c>
      <c r="G33" s="156">
        <f t="shared" si="7"/>
        <v>0</v>
      </c>
      <c r="H33" s="156">
        <f t="shared" si="7"/>
        <v>0</v>
      </c>
      <c r="I33" s="156">
        <f t="shared" si="7"/>
        <v>0</v>
      </c>
      <c r="J33" s="156">
        <f t="shared" si="7"/>
        <v>0</v>
      </c>
      <c r="K33" s="156">
        <f t="shared" si="7"/>
        <v>0</v>
      </c>
      <c r="L33" s="156">
        <f t="shared" si="7"/>
        <v>0</v>
      </c>
      <c r="M33" s="156">
        <f t="shared" si="7"/>
        <v>0</v>
      </c>
      <c r="N33" s="156">
        <f t="shared" si="7"/>
        <v>0</v>
      </c>
      <c r="O33" s="156">
        <f t="shared" si="7"/>
        <v>0</v>
      </c>
      <c r="P33" s="155"/>
    </row>
    <row r="34" spans="1:16" x14ac:dyDescent="0.35">
      <c r="A34" s="180"/>
      <c r="B34" s="153" t="str">
        <f>Weekly!C20</f>
        <v>Rent and other office expenses</v>
      </c>
      <c r="C34" s="156">
        <f t="shared" si="3"/>
        <v>0</v>
      </c>
      <c r="D34" s="156">
        <f t="shared" si="4"/>
        <v>0</v>
      </c>
      <c r="E34" s="156">
        <f t="shared" si="6"/>
        <v>0</v>
      </c>
      <c r="F34" s="156">
        <f t="shared" si="7"/>
        <v>0</v>
      </c>
      <c r="G34" s="156">
        <f t="shared" si="7"/>
        <v>0</v>
      </c>
      <c r="H34" s="156">
        <f t="shared" si="7"/>
        <v>0</v>
      </c>
      <c r="I34" s="156">
        <f t="shared" si="7"/>
        <v>0</v>
      </c>
      <c r="J34" s="156">
        <f t="shared" si="7"/>
        <v>0</v>
      </c>
      <c r="K34" s="156">
        <f t="shared" si="7"/>
        <v>0</v>
      </c>
      <c r="L34" s="156">
        <f t="shared" si="7"/>
        <v>0</v>
      </c>
      <c r="M34" s="156">
        <f t="shared" si="7"/>
        <v>0</v>
      </c>
      <c r="N34" s="156">
        <f t="shared" si="7"/>
        <v>0</v>
      </c>
      <c r="O34" s="156">
        <f t="shared" si="7"/>
        <v>0</v>
      </c>
      <c r="P34" s="155"/>
    </row>
    <row r="35" spans="1:16" x14ac:dyDescent="0.35">
      <c r="A35" s="180"/>
      <c r="B35" s="153" t="str">
        <f>Weekly!C21</f>
        <v>Utilities</v>
      </c>
      <c r="C35" s="156">
        <f t="shared" si="3"/>
        <v>0</v>
      </c>
      <c r="D35" s="156">
        <f t="shared" si="4"/>
        <v>0</v>
      </c>
      <c r="E35" s="156">
        <f t="shared" si="6"/>
        <v>0</v>
      </c>
      <c r="F35" s="156">
        <f t="shared" si="7"/>
        <v>0</v>
      </c>
      <c r="G35" s="156">
        <f t="shared" si="7"/>
        <v>0</v>
      </c>
      <c r="H35" s="156">
        <f t="shared" si="7"/>
        <v>0</v>
      </c>
      <c r="I35" s="156">
        <f t="shared" si="7"/>
        <v>0</v>
      </c>
      <c r="J35" s="156">
        <f t="shared" si="7"/>
        <v>0</v>
      </c>
      <c r="K35" s="156">
        <f t="shared" si="7"/>
        <v>0</v>
      </c>
      <c r="L35" s="156">
        <f t="shared" si="7"/>
        <v>0</v>
      </c>
      <c r="M35" s="156">
        <f t="shared" si="7"/>
        <v>0</v>
      </c>
      <c r="N35" s="156">
        <f t="shared" si="7"/>
        <v>0</v>
      </c>
      <c r="O35" s="156">
        <f t="shared" si="7"/>
        <v>0</v>
      </c>
      <c r="P35" s="155"/>
    </row>
    <row r="36" spans="1:16" x14ac:dyDescent="0.35">
      <c r="A36" s="180"/>
      <c r="B36" s="153" t="str">
        <f>Weekly!C22</f>
        <v>Professional fees</v>
      </c>
      <c r="C36" s="156">
        <f t="shared" si="3"/>
        <v>0</v>
      </c>
      <c r="D36" s="156">
        <f t="shared" si="4"/>
        <v>0</v>
      </c>
      <c r="E36" s="156">
        <f t="shared" si="6"/>
        <v>0</v>
      </c>
      <c r="F36" s="156">
        <f t="shared" si="7"/>
        <v>0</v>
      </c>
      <c r="G36" s="156">
        <f t="shared" si="7"/>
        <v>0</v>
      </c>
      <c r="H36" s="156">
        <f t="shared" si="7"/>
        <v>0</v>
      </c>
      <c r="I36" s="156">
        <f t="shared" si="7"/>
        <v>0</v>
      </c>
      <c r="J36" s="156">
        <f t="shared" si="7"/>
        <v>0</v>
      </c>
      <c r="K36" s="156">
        <f t="shared" si="7"/>
        <v>0</v>
      </c>
      <c r="L36" s="156">
        <f t="shared" si="7"/>
        <v>0</v>
      </c>
      <c r="M36" s="156">
        <f t="shared" si="7"/>
        <v>0</v>
      </c>
      <c r="N36" s="156">
        <f t="shared" si="7"/>
        <v>0</v>
      </c>
      <c r="O36" s="156">
        <f t="shared" si="7"/>
        <v>0</v>
      </c>
      <c r="P36" s="155"/>
    </row>
    <row r="37" spans="1:16" x14ac:dyDescent="0.35">
      <c r="A37" s="180"/>
      <c r="B37" s="153" t="str">
        <f>Weekly!C23</f>
        <v>[add to customize 1]</v>
      </c>
      <c r="C37" s="156">
        <f t="shared" si="3"/>
        <v>0</v>
      </c>
      <c r="D37" s="156">
        <f t="shared" si="4"/>
        <v>0</v>
      </c>
      <c r="E37" s="156">
        <f t="shared" si="6"/>
        <v>0</v>
      </c>
      <c r="F37" s="156">
        <f t="shared" si="7"/>
        <v>0</v>
      </c>
      <c r="G37" s="156">
        <f t="shared" si="7"/>
        <v>0</v>
      </c>
      <c r="H37" s="156">
        <f t="shared" si="7"/>
        <v>0</v>
      </c>
      <c r="I37" s="156">
        <f t="shared" si="7"/>
        <v>0</v>
      </c>
      <c r="J37" s="156">
        <f t="shared" si="7"/>
        <v>0</v>
      </c>
      <c r="K37" s="156">
        <f t="shared" si="7"/>
        <v>0</v>
      </c>
      <c r="L37" s="156">
        <f t="shared" si="7"/>
        <v>0</v>
      </c>
      <c r="M37" s="156">
        <f t="shared" si="7"/>
        <v>0</v>
      </c>
      <c r="N37" s="156">
        <f t="shared" si="7"/>
        <v>0</v>
      </c>
      <c r="O37" s="156">
        <f t="shared" si="7"/>
        <v>0</v>
      </c>
      <c r="P37" s="155"/>
    </row>
    <row r="38" spans="1:16" x14ac:dyDescent="0.35">
      <c r="A38" s="180"/>
      <c r="B38" s="153" t="str">
        <f>Weekly!C24</f>
        <v>[add to customize 2]</v>
      </c>
      <c r="C38" s="156">
        <f t="shared" ref="C38" si="8">SUMIF($P$7:$P$27,B38,$C$7:$C$27)</f>
        <v>0</v>
      </c>
      <c r="D38" s="156">
        <f t="shared" ref="D38" si="9">SUMIF($P$7:$P$27,B38,$D$7:$D$27)</f>
        <v>0</v>
      </c>
      <c r="E38" s="156">
        <f t="shared" ref="E38" si="10">SUMIF($P$7:$P$27,B38,$E$7:$E$27)</f>
        <v>0</v>
      </c>
      <c r="F38" s="156">
        <f t="shared" si="7"/>
        <v>0</v>
      </c>
      <c r="G38" s="156">
        <f t="shared" si="7"/>
        <v>0</v>
      </c>
      <c r="H38" s="156">
        <f t="shared" si="7"/>
        <v>0</v>
      </c>
      <c r="I38" s="156">
        <f t="shared" si="7"/>
        <v>0</v>
      </c>
      <c r="J38" s="156">
        <f t="shared" si="7"/>
        <v>0</v>
      </c>
      <c r="K38" s="156">
        <f t="shared" si="7"/>
        <v>0</v>
      </c>
      <c r="L38" s="156">
        <f t="shared" si="7"/>
        <v>0</v>
      </c>
      <c r="M38" s="156">
        <f t="shared" si="7"/>
        <v>0</v>
      </c>
      <c r="N38" s="156">
        <f t="shared" si="7"/>
        <v>0</v>
      </c>
      <c r="O38" s="156">
        <f t="shared" si="7"/>
        <v>0</v>
      </c>
      <c r="P38" s="155"/>
    </row>
    <row r="39" spans="1:16" ht="19.5" customHeight="1" x14ac:dyDescent="0.35">
      <c r="A39" s="180"/>
      <c r="B39" s="153" t="str">
        <f>Weekly!C25</f>
        <v>[add to customize 3]</v>
      </c>
      <c r="C39" s="156">
        <f t="shared" si="3"/>
        <v>0</v>
      </c>
      <c r="D39" s="156">
        <f t="shared" si="4"/>
        <v>0</v>
      </c>
      <c r="E39" s="156">
        <f t="shared" si="6"/>
        <v>0</v>
      </c>
      <c r="F39" s="156">
        <f t="shared" si="7"/>
        <v>0</v>
      </c>
      <c r="G39" s="156">
        <f t="shared" si="7"/>
        <v>0</v>
      </c>
      <c r="H39" s="156">
        <f t="shared" si="7"/>
        <v>0</v>
      </c>
      <c r="I39" s="156">
        <f t="shared" si="7"/>
        <v>0</v>
      </c>
      <c r="J39" s="156">
        <f t="shared" si="7"/>
        <v>0</v>
      </c>
      <c r="K39" s="156">
        <f t="shared" si="7"/>
        <v>0</v>
      </c>
      <c r="L39" s="156">
        <f t="shared" si="7"/>
        <v>0</v>
      </c>
      <c r="M39" s="156">
        <f t="shared" si="7"/>
        <v>0</v>
      </c>
      <c r="N39" s="156">
        <f t="shared" si="7"/>
        <v>0</v>
      </c>
      <c r="O39" s="156">
        <f t="shared" si="7"/>
        <v>0</v>
      </c>
      <c r="P39" s="155"/>
    </row>
    <row r="40" spans="1:16" x14ac:dyDescent="0.35">
      <c r="A40" s="180"/>
      <c r="B40" s="153" t="str">
        <f>Weekly!C28</f>
        <v>Debt service</v>
      </c>
      <c r="C40" s="156">
        <f t="shared" si="3"/>
        <v>0</v>
      </c>
      <c r="D40" s="156">
        <f t="shared" si="4"/>
        <v>0</v>
      </c>
      <c r="E40" s="156">
        <f t="shared" si="6"/>
        <v>0</v>
      </c>
      <c r="F40" s="156">
        <f t="shared" si="7"/>
        <v>0</v>
      </c>
      <c r="G40" s="156">
        <f t="shared" si="7"/>
        <v>0</v>
      </c>
      <c r="H40" s="156">
        <f t="shared" si="7"/>
        <v>0</v>
      </c>
      <c r="I40" s="156">
        <f t="shared" si="7"/>
        <v>0</v>
      </c>
      <c r="J40" s="156">
        <f t="shared" si="7"/>
        <v>0</v>
      </c>
      <c r="K40" s="156">
        <f t="shared" si="7"/>
        <v>0</v>
      </c>
      <c r="L40" s="156">
        <f t="shared" si="7"/>
        <v>0</v>
      </c>
      <c r="M40" s="156">
        <f t="shared" si="7"/>
        <v>0</v>
      </c>
      <c r="N40" s="156">
        <f t="shared" si="7"/>
        <v>0</v>
      </c>
      <c r="O40" s="156">
        <f t="shared" si="7"/>
        <v>0</v>
      </c>
      <c r="P40" s="155"/>
    </row>
    <row r="41" spans="1:16" x14ac:dyDescent="0.35">
      <c r="A41" s="180"/>
      <c r="B41" s="153" t="str">
        <f>Weekly!C29</f>
        <v>CapEx</v>
      </c>
      <c r="C41" s="156">
        <f t="shared" si="3"/>
        <v>0</v>
      </c>
      <c r="D41" s="156">
        <f t="shared" si="4"/>
        <v>0</v>
      </c>
      <c r="E41" s="156">
        <f t="shared" si="6"/>
        <v>0</v>
      </c>
      <c r="F41" s="156">
        <f t="shared" si="7"/>
        <v>0</v>
      </c>
      <c r="G41" s="156">
        <f t="shared" si="7"/>
        <v>0</v>
      </c>
      <c r="H41" s="156">
        <f t="shared" si="7"/>
        <v>0</v>
      </c>
      <c r="I41" s="156">
        <f t="shared" si="7"/>
        <v>0</v>
      </c>
      <c r="J41" s="156">
        <f t="shared" si="7"/>
        <v>0</v>
      </c>
      <c r="K41" s="156">
        <f t="shared" si="7"/>
        <v>0</v>
      </c>
      <c r="L41" s="156">
        <f t="shared" si="7"/>
        <v>0</v>
      </c>
      <c r="M41" s="156">
        <f t="shared" si="7"/>
        <v>0</v>
      </c>
      <c r="N41" s="156">
        <f t="shared" si="7"/>
        <v>0</v>
      </c>
      <c r="O41" s="156">
        <f t="shared" si="7"/>
        <v>0</v>
      </c>
      <c r="P41" s="155"/>
    </row>
    <row r="42" spans="1:16" x14ac:dyDescent="0.35">
      <c r="A42" s="180"/>
      <c r="B42" s="153" t="str">
        <f>Weekly!C30</f>
        <v>[add to customize 4]</v>
      </c>
      <c r="C42" s="156">
        <f t="shared" si="3"/>
        <v>0</v>
      </c>
      <c r="D42" s="156">
        <f t="shared" si="4"/>
        <v>0</v>
      </c>
      <c r="E42" s="156">
        <f t="shared" si="6"/>
        <v>0</v>
      </c>
      <c r="F42" s="156">
        <f t="shared" si="7"/>
        <v>0</v>
      </c>
      <c r="G42" s="156">
        <f t="shared" si="7"/>
        <v>0</v>
      </c>
      <c r="H42" s="156">
        <f t="shared" si="7"/>
        <v>0</v>
      </c>
      <c r="I42" s="156">
        <f t="shared" si="7"/>
        <v>0</v>
      </c>
      <c r="J42" s="156">
        <f t="shared" si="7"/>
        <v>0</v>
      </c>
      <c r="K42" s="156">
        <f t="shared" si="7"/>
        <v>0</v>
      </c>
      <c r="L42" s="156">
        <f t="shared" si="7"/>
        <v>0</v>
      </c>
      <c r="M42" s="156">
        <f t="shared" si="7"/>
        <v>0</v>
      </c>
      <c r="N42" s="156">
        <f t="shared" si="7"/>
        <v>0</v>
      </c>
      <c r="O42" s="156">
        <f t="shared" si="7"/>
        <v>0</v>
      </c>
      <c r="P42" s="155"/>
    </row>
    <row r="43" spans="1:16" x14ac:dyDescent="0.35">
      <c r="A43" s="180"/>
      <c r="B43" s="153" t="str">
        <f>Weekly!C31</f>
        <v>[add to customize 5]</v>
      </c>
      <c r="C43" s="156">
        <f t="shared" si="3"/>
        <v>0</v>
      </c>
      <c r="D43" s="156">
        <f t="shared" si="4"/>
        <v>0</v>
      </c>
      <c r="E43" s="156">
        <f t="shared" si="6"/>
        <v>0</v>
      </c>
      <c r="F43" s="156">
        <f t="shared" si="7"/>
        <v>0</v>
      </c>
      <c r="G43" s="156">
        <f t="shared" si="7"/>
        <v>0</v>
      </c>
      <c r="H43" s="156">
        <f t="shared" si="7"/>
        <v>0</v>
      </c>
      <c r="I43" s="156">
        <f t="shared" si="7"/>
        <v>0</v>
      </c>
      <c r="J43" s="156">
        <f t="shared" si="7"/>
        <v>0</v>
      </c>
      <c r="K43" s="156">
        <f t="shared" si="7"/>
        <v>0</v>
      </c>
      <c r="L43" s="156">
        <f t="shared" si="7"/>
        <v>0</v>
      </c>
      <c r="M43" s="156">
        <f t="shared" si="7"/>
        <v>0</v>
      </c>
      <c r="N43" s="156">
        <f t="shared" si="7"/>
        <v>0</v>
      </c>
      <c r="O43" s="156">
        <f t="shared" si="7"/>
        <v>0</v>
      </c>
      <c r="P43" s="155"/>
    </row>
    <row r="44" spans="1:16" ht="18.600000000000001" thickBot="1" x14ac:dyDescent="0.4">
      <c r="A44" s="180"/>
      <c r="B44" s="153"/>
      <c r="C44" s="156"/>
      <c r="D44" s="156"/>
      <c r="E44" s="156"/>
      <c r="F44" s="156"/>
      <c r="G44" s="156"/>
      <c r="H44" s="156"/>
      <c r="I44" s="156"/>
      <c r="J44" s="156"/>
      <c r="K44" s="156"/>
      <c r="L44" s="156"/>
      <c r="M44" s="156"/>
      <c r="N44" s="156"/>
      <c r="O44" s="156"/>
      <c r="P44" s="155"/>
    </row>
    <row r="45" spans="1:16" ht="18.600000000000001" thickBot="1" x14ac:dyDescent="0.4">
      <c r="A45" s="180"/>
      <c r="B45" s="154" t="s">
        <v>171</v>
      </c>
      <c r="C45" s="151">
        <f t="shared" ref="C45:O45" si="11">SUM(C32:C43)</f>
        <v>0</v>
      </c>
      <c r="D45" s="151">
        <f t="shared" si="11"/>
        <v>0</v>
      </c>
      <c r="E45" s="151">
        <f t="shared" si="11"/>
        <v>0</v>
      </c>
      <c r="F45" s="151">
        <f t="shared" si="11"/>
        <v>0</v>
      </c>
      <c r="G45" s="151">
        <f t="shared" si="11"/>
        <v>0</v>
      </c>
      <c r="H45" s="151">
        <f t="shared" si="11"/>
        <v>0</v>
      </c>
      <c r="I45" s="151">
        <f t="shared" si="11"/>
        <v>0</v>
      </c>
      <c r="J45" s="151">
        <f t="shared" si="11"/>
        <v>0</v>
      </c>
      <c r="K45" s="151">
        <f t="shared" si="11"/>
        <v>0</v>
      </c>
      <c r="L45" s="151">
        <f t="shared" si="11"/>
        <v>0</v>
      </c>
      <c r="M45" s="151">
        <f t="shared" si="11"/>
        <v>0</v>
      </c>
      <c r="N45" s="151">
        <f t="shared" si="11"/>
        <v>0</v>
      </c>
      <c r="O45" s="151">
        <f t="shared" si="11"/>
        <v>0</v>
      </c>
      <c r="P45" s="151">
        <f>SUM(C45:O45)</f>
        <v>0</v>
      </c>
    </row>
    <row r="46" spans="1:16" x14ac:dyDescent="0.35">
      <c r="B46" s="148"/>
      <c r="C46" s="148"/>
      <c r="D46" s="148"/>
      <c r="E46" s="148"/>
      <c r="F46" s="147"/>
      <c r="G46" s="147"/>
      <c r="H46" s="147"/>
      <c r="I46" s="147"/>
      <c r="J46" s="147"/>
      <c r="K46" s="147"/>
      <c r="L46" s="147"/>
      <c r="M46" s="147"/>
      <c r="N46" s="147"/>
      <c r="O46" s="147"/>
      <c r="P46" s="148"/>
    </row>
    <row r="47" spans="1:16" s="134" customFormat="1" x14ac:dyDescent="0.35">
      <c r="A47"/>
      <c r="B47" s="187" t="s">
        <v>172</v>
      </c>
      <c r="C47" s="149">
        <f t="shared" ref="C47:O47" si="12">C45-C28</f>
        <v>0</v>
      </c>
      <c r="D47" s="149">
        <f t="shared" si="12"/>
        <v>0</v>
      </c>
      <c r="E47" s="149">
        <f t="shared" si="12"/>
        <v>0</v>
      </c>
      <c r="F47" s="149">
        <f t="shared" si="12"/>
        <v>0</v>
      </c>
      <c r="G47" s="149">
        <f t="shared" si="12"/>
        <v>0</v>
      </c>
      <c r="H47" s="149">
        <f t="shared" si="12"/>
        <v>0</v>
      </c>
      <c r="I47" s="149">
        <f t="shared" si="12"/>
        <v>0</v>
      </c>
      <c r="J47" s="149">
        <f t="shared" si="12"/>
        <v>0</v>
      </c>
      <c r="K47" s="149">
        <f t="shared" si="12"/>
        <v>0</v>
      </c>
      <c r="L47" s="149">
        <f t="shared" si="12"/>
        <v>0</v>
      </c>
      <c r="M47" s="149">
        <f t="shared" si="12"/>
        <v>0</v>
      </c>
      <c r="N47" s="149">
        <f t="shared" si="12"/>
        <v>0</v>
      </c>
      <c r="O47" s="149">
        <f t="shared" si="12"/>
        <v>0</v>
      </c>
      <c r="P47" s="150">
        <f>P45+SUM(Weekly!D33:P33)</f>
        <v>0</v>
      </c>
    </row>
    <row r="48" spans="1:16" x14ac:dyDescent="0.35">
      <c r="P48" s="75"/>
    </row>
  </sheetData>
  <mergeCells count="3">
    <mergeCell ref="B1:Q1"/>
    <mergeCell ref="B2:Q2"/>
    <mergeCell ref="B3:Q3"/>
  </mergeCells>
  <phoneticPr fontId="57" type="noConversion"/>
  <pageMargins left="0.2" right="0.2" top="0.25" bottom="0" header="0.3" footer="0.3"/>
  <pageSetup scale="60" fitToHeight="0" orientation="landscape"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A12A82BE-4CEB-4C14-9DB6-109E776B6512}">
          <x14:formula1>
            <xm:f>Weekly!$C$18:$C$31</xm:f>
          </x14:formula1>
          <xm:sqref>P7:P27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3:P27"/>
  <sheetViews>
    <sheetView workbookViewId="0"/>
  </sheetViews>
  <sheetFormatPr defaultRowHeight="14.4" x14ac:dyDescent="0.3"/>
  <cols>
    <col min="1" max="1" width="50.109375" bestFit="1" customWidth="1"/>
    <col min="3" max="3" width="46" style="54" customWidth="1"/>
    <col min="4" max="4" width="37" style="54" customWidth="1"/>
    <col min="5" max="11" width="0" hidden="1" customWidth="1"/>
  </cols>
  <sheetData>
    <row r="3" spans="1:16" x14ac:dyDescent="0.3">
      <c r="A3" t="s">
        <v>173</v>
      </c>
      <c r="B3" s="7">
        <v>150</v>
      </c>
      <c r="M3" t="s">
        <v>174</v>
      </c>
    </row>
    <row r="4" spans="1:16" x14ac:dyDescent="0.3">
      <c r="A4" t="s">
        <v>175</v>
      </c>
      <c r="B4" s="7">
        <v>5</v>
      </c>
      <c r="M4" t="s">
        <v>176</v>
      </c>
      <c r="N4" t="s">
        <v>177</v>
      </c>
      <c r="O4" t="s">
        <v>178</v>
      </c>
      <c r="P4" t="s">
        <v>179</v>
      </c>
    </row>
    <row r="5" spans="1:16" ht="28.8" x14ac:dyDescent="0.3">
      <c r="A5" t="s">
        <v>180</v>
      </c>
      <c r="B5" s="7">
        <v>1750</v>
      </c>
      <c r="C5" s="54" t="s">
        <v>181</v>
      </c>
      <c r="L5" t="s">
        <v>182</v>
      </c>
      <c r="M5">
        <v>48</v>
      </c>
      <c r="N5" s="2">
        <v>44</v>
      </c>
      <c r="O5">
        <f>M5-N5</f>
        <v>4</v>
      </c>
      <c r="P5">
        <v>2100</v>
      </c>
    </row>
    <row r="6" spans="1:16" x14ac:dyDescent="0.3">
      <c r="L6" t="s">
        <v>183</v>
      </c>
      <c r="M6">
        <v>88</v>
      </c>
      <c r="N6" s="2">
        <v>72</v>
      </c>
      <c r="O6">
        <f t="shared" ref="O6:O7" si="0">M6-N6</f>
        <v>16</v>
      </c>
      <c r="P6">
        <v>2700</v>
      </c>
    </row>
    <row r="7" spans="1:16" x14ac:dyDescent="0.3">
      <c r="L7" t="s">
        <v>184</v>
      </c>
      <c r="M7">
        <v>20</v>
      </c>
      <c r="N7" s="2">
        <v>18</v>
      </c>
      <c r="O7">
        <f t="shared" si="0"/>
        <v>2</v>
      </c>
      <c r="P7">
        <v>3400</v>
      </c>
    </row>
    <row r="8" spans="1:16" x14ac:dyDescent="0.3">
      <c r="L8" t="s">
        <v>90</v>
      </c>
      <c r="M8">
        <f>SUM(M5:M7)</f>
        <v>156</v>
      </c>
      <c r="N8">
        <f>SUM(N5:N7)</f>
        <v>134</v>
      </c>
      <c r="O8">
        <f>SUM(O5:O7)</f>
        <v>22</v>
      </c>
    </row>
    <row r="9" spans="1:16" ht="28.8" x14ac:dyDescent="0.3">
      <c r="A9" t="s">
        <v>185</v>
      </c>
      <c r="B9" s="7">
        <v>210</v>
      </c>
      <c r="C9" s="54" t="s">
        <v>186</v>
      </c>
      <c r="M9" t="s">
        <v>187</v>
      </c>
      <c r="N9" s="50">
        <f>(P5*M5+P6*M6+P7*M7)/M8</f>
        <v>2605.1282051282051</v>
      </c>
      <c r="O9" t="s">
        <v>188</v>
      </c>
      <c r="P9" s="78">
        <f>(P5*O5+P6*O6+P7*O7)/O8</f>
        <v>2654.5454545454545</v>
      </c>
    </row>
    <row r="10" spans="1:16" x14ac:dyDescent="0.3">
      <c r="P10" s="50" t="s">
        <v>189</v>
      </c>
    </row>
    <row r="11" spans="1:16" x14ac:dyDescent="0.3">
      <c r="A11" t="s">
        <v>190</v>
      </c>
      <c r="B11" s="7">
        <v>2300</v>
      </c>
    </row>
    <row r="12" spans="1:16" ht="28.8" x14ac:dyDescent="0.3">
      <c r="A12" s="74" t="s">
        <v>191</v>
      </c>
      <c r="B12" s="49">
        <f>ROUNDDOWN(P9,-1)</f>
        <v>2650</v>
      </c>
      <c r="C12" s="54" t="s">
        <v>192</v>
      </c>
    </row>
    <row r="14" spans="1:16" ht="72" x14ac:dyDescent="0.3">
      <c r="A14" s="8" t="s">
        <v>193</v>
      </c>
      <c r="B14" s="49">
        <f>ROUNDDOWN(B11*C14,-1)</f>
        <v>2300</v>
      </c>
      <c r="C14" s="55">
        <v>1</v>
      </c>
      <c r="D14" s="54" t="s">
        <v>194</v>
      </c>
    </row>
    <row r="15" spans="1:16" x14ac:dyDescent="0.3">
      <c r="A15" t="s">
        <v>195</v>
      </c>
      <c r="B15" s="7">
        <v>3</v>
      </c>
      <c r="C15" s="54" t="s">
        <v>196</v>
      </c>
    </row>
    <row r="20" spans="1:1" x14ac:dyDescent="0.3">
      <c r="A20" s="76" t="s">
        <v>197</v>
      </c>
    </row>
    <row r="21" spans="1:1" x14ac:dyDescent="0.3">
      <c r="A21" s="77" t="s">
        <v>198</v>
      </c>
    </row>
    <row r="22" spans="1:1" x14ac:dyDescent="0.3">
      <c r="A22" t="s">
        <v>199</v>
      </c>
    </row>
    <row r="23" spans="1:1" x14ac:dyDescent="0.3">
      <c r="A23" t="s">
        <v>200</v>
      </c>
    </row>
    <row r="24" spans="1:1" x14ac:dyDescent="0.3">
      <c r="A24" t="s">
        <v>201</v>
      </c>
    </row>
    <row r="25" spans="1:1" x14ac:dyDescent="0.3">
      <c r="A25" t="s">
        <v>202</v>
      </c>
    </row>
    <row r="26" spans="1:1" x14ac:dyDescent="0.3">
      <c r="A26" t="s">
        <v>203</v>
      </c>
    </row>
    <row r="27" spans="1:1" x14ac:dyDescent="0.3">
      <c r="A27" t="s">
        <v>204</v>
      </c>
    </row>
  </sheetData>
  <pageMargins left="0.7" right="0.7" top="0.75" bottom="0.75" header="0.3" footer="0.3"/>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3"/>
  <sheetViews>
    <sheetView workbookViewId="0"/>
  </sheetViews>
  <sheetFormatPr defaultRowHeight="14.4" x14ac:dyDescent="0.3"/>
  <cols>
    <col min="1" max="1" width="3.5546875" customWidth="1"/>
    <col min="2" max="2" width="13" customWidth="1"/>
    <col min="3" max="3" width="30.6640625" bestFit="1" customWidth="1"/>
    <col min="4" max="4" width="17.5546875" bestFit="1" customWidth="1"/>
    <col min="5" max="5" width="14.6640625" customWidth="1"/>
    <col min="6" max="6" width="13.6640625" customWidth="1"/>
    <col min="7" max="7" width="12" bestFit="1" customWidth="1"/>
    <col min="8" max="8" width="5" customWidth="1"/>
    <col min="9" max="9" width="4.5546875" customWidth="1"/>
    <col min="10" max="10" width="14.33203125" bestFit="1" customWidth="1"/>
    <col min="11" max="11" width="27" style="54" customWidth="1"/>
    <col min="12" max="15" width="0" hidden="1" customWidth="1"/>
    <col min="16" max="16" width="14.33203125" bestFit="1" customWidth="1"/>
    <col min="17" max="17" width="40" style="54" customWidth="1"/>
    <col min="18" max="21" width="0" hidden="1" customWidth="1"/>
    <col min="22" max="22" width="13.88671875" style="54" customWidth="1"/>
    <col min="23" max="23" width="9" bestFit="1" customWidth="1"/>
    <col min="24" max="24" width="8" bestFit="1" customWidth="1"/>
  </cols>
  <sheetData>
    <row r="1" spans="1:24" x14ac:dyDescent="0.3">
      <c r="A1" t="s">
        <v>205</v>
      </c>
    </row>
    <row r="2" spans="1:24" ht="15" thickBot="1" x14ac:dyDescent="0.35">
      <c r="D2" s="7" t="s">
        <v>206</v>
      </c>
    </row>
    <row r="3" spans="1:24" hidden="1" x14ac:dyDescent="0.3"/>
    <row r="4" spans="1:24" ht="24" thickBot="1" x14ac:dyDescent="0.5">
      <c r="A4" s="10" t="s">
        <v>207</v>
      </c>
      <c r="B4" s="11"/>
      <c r="C4" s="11"/>
      <c r="D4" s="11"/>
      <c r="E4" s="11"/>
      <c r="F4" s="11"/>
      <c r="J4" s="230" t="s">
        <v>208</v>
      </c>
      <c r="K4" s="231"/>
      <c r="P4" s="42" t="s">
        <v>209</v>
      </c>
    </row>
    <row r="5" spans="1:24" ht="29.4" thickBot="1" x14ac:dyDescent="0.35">
      <c r="A5" s="12"/>
      <c r="G5" s="13"/>
      <c r="J5" s="62">
        <v>7140459</v>
      </c>
      <c r="K5" s="63" t="s">
        <v>210</v>
      </c>
      <c r="P5" s="38">
        <f>J15/0.75</f>
        <v>13133333.333333334</v>
      </c>
      <c r="Q5" s="54" t="s">
        <v>211</v>
      </c>
    </row>
    <row r="6" spans="1:24" ht="28.8" x14ac:dyDescent="0.3">
      <c r="J6" s="70">
        <v>1817500</v>
      </c>
      <c r="K6" s="59" t="s">
        <v>212</v>
      </c>
      <c r="P6" s="39">
        <v>0.75</v>
      </c>
      <c r="Q6" s="54" t="s">
        <v>213</v>
      </c>
    </row>
    <row r="7" spans="1:24" ht="29.4" thickBot="1" x14ac:dyDescent="0.35">
      <c r="B7" s="14" t="s">
        <v>206</v>
      </c>
      <c r="C7" s="14"/>
      <c r="D7" s="14"/>
      <c r="F7" s="15" t="s">
        <v>214</v>
      </c>
      <c r="G7" s="16"/>
      <c r="J7" s="71">
        <v>323571</v>
      </c>
      <c r="K7" s="61" t="s">
        <v>215</v>
      </c>
    </row>
    <row r="8" spans="1:24" ht="29.4" thickBot="1" x14ac:dyDescent="0.35">
      <c r="F8" t="s">
        <v>216</v>
      </c>
      <c r="J8" s="72">
        <f>109050/12*3</f>
        <v>27262.5</v>
      </c>
      <c r="K8" s="60" t="s">
        <v>217</v>
      </c>
      <c r="P8" t="s">
        <v>218</v>
      </c>
      <c r="V8" s="54" t="s">
        <v>219</v>
      </c>
      <c r="X8">
        <v>7750000</v>
      </c>
    </row>
    <row r="9" spans="1:24" x14ac:dyDescent="0.3">
      <c r="C9" s="17" t="s">
        <v>220</v>
      </c>
      <c r="D9" s="51">
        <v>9610000</v>
      </c>
      <c r="F9" t="s">
        <v>221</v>
      </c>
      <c r="J9" s="70">
        <v>65000</v>
      </c>
      <c r="K9" s="59" t="s">
        <v>222</v>
      </c>
      <c r="P9" s="47">
        <f>D9*X9</f>
        <v>31435.24</v>
      </c>
      <c r="Q9" s="54" t="s">
        <v>223</v>
      </c>
      <c r="V9" s="54" t="s">
        <v>224</v>
      </c>
      <c r="W9" s="58">
        <v>25351</v>
      </c>
      <c r="X9" s="48">
        <f>W9/X8</f>
        <v>3.2710967741935485E-3</v>
      </c>
    </row>
    <row r="10" spans="1:24" ht="29.4" thickBot="1" x14ac:dyDescent="0.35">
      <c r="C10" s="17" t="s">
        <v>225</v>
      </c>
      <c r="D10" s="43">
        <v>5.5E-2</v>
      </c>
      <c r="E10" s="46" t="s">
        <v>226</v>
      </c>
      <c r="F10" t="s">
        <v>227</v>
      </c>
      <c r="J10" s="72">
        <v>35490</v>
      </c>
      <c r="K10" s="60" t="s">
        <v>228</v>
      </c>
      <c r="P10" s="47">
        <f>D9*X10</f>
        <v>21078.921199999993</v>
      </c>
      <c r="Q10" s="54" t="s">
        <v>229</v>
      </c>
      <c r="V10" s="54" t="s">
        <v>230</v>
      </c>
      <c r="W10" s="58">
        <v>16999.129999999997</v>
      </c>
      <c r="X10" s="48">
        <f>W10/X8</f>
        <v>2.1934361290322575E-3</v>
      </c>
    </row>
    <row r="11" spans="1:24" ht="29.4" thickBot="1" x14ac:dyDescent="0.35">
      <c r="C11" s="17" t="s">
        <v>231</v>
      </c>
      <c r="D11" s="44">
        <v>240</v>
      </c>
      <c r="E11" s="46" t="s">
        <v>232</v>
      </c>
      <c r="J11" s="62">
        <v>350000</v>
      </c>
      <c r="K11" s="63" t="s">
        <v>233</v>
      </c>
      <c r="P11" s="47">
        <f>W11*1.03</f>
        <v>58993.868000000009</v>
      </c>
      <c r="Q11" s="54" t="s">
        <v>234</v>
      </c>
      <c r="V11" s="54" t="s">
        <v>235</v>
      </c>
      <c r="W11" s="58">
        <v>57275.600000000006</v>
      </c>
    </row>
    <row r="12" spans="1:24" ht="29.4" thickBot="1" x14ac:dyDescent="0.35">
      <c r="C12" s="17" t="s">
        <v>236</v>
      </c>
      <c r="D12" s="44">
        <v>60</v>
      </c>
      <c r="E12" s="46" t="s">
        <v>237</v>
      </c>
      <c r="J12" s="66">
        <v>90717.5</v>
      </c>
      <c r="K12" s="67" t="s">
        <v>34</v>
      </c>
      <c r="P12" s="47" t="e">
        <f>-SUM(#REF!)</f>
        <v>#REF!</v>
      </c>
      <c r="Q12" s="54" t="s">
        <v>238</v>
      </c>
      <c r="W12" s="58">
        <v>99625.73000000001</v>
      </c>
    </row>
    <row r="13" spans="1:24" x14ac:dyDescent="0.3">
      <c r="C13" s="17" t="s">
        <v>239</v>
      </c>
      <c r="D13" s="45">
        <v>43164</v>
      </c>
      <c r="J13" s="64"/>
      <c r="K13" s="59"/>
      <c r="P13" s="37" t="e">
        <f>SUM(P9:P12)</f>
        <v>#REF!</v>
      </c>
      <c r="Q13" s="54" t="s">
        <v>240</v>
      </c>
    </row>
    <row r="14" spans="1:24" x14ac:dyDescent="0.3">
      <c r="C14" s="18"/>
      <c r="J14" s="65"/>
      <c r="K14" s="61"/>
    </row>
    <row r="15" spans="1:24" ht="16.2" thickBot="1" x14ac:dyDescent="0.35">
      <c r="B15" s="14" t="s">
        <v>241</v>
      </c>
      <c r="C15" s="20"/>
      <c r="D15" s="20"/>
      <c r="J15" s="73">
        <f>SUM(J5:J14)</f>
        <v>9850000</v>
      </c>
      <c r="K15" s="69" t="s">
        <v>242</v>
      </c>
    </row>
    <row r="16" spans="1:24" ht="15" thickBot="1" x14ac:dyDescent="0.35">
      <c r="A16" s="19" t="s">
        <v>243</v>
      </c>
      <c r="C16" s="18"/>
    </row>
    <row r="17" spans="2:16" x14ac:dyDescent="0.3">
      <c r="C17" s="17" t="s">
        <v>244</v>
      </c>
      <c r="D17" s="21">
        <f>D28</f>
        <v>66105.970285272837</v>
      </c>
      <c r="J17" s="228" t="s">
        <v>245</v>
      </c>
      <c r="K17" s="229"/>
    </row>
    <row r="18" spans="2:16" ht="15" thickBot="1" x14ac:dyDescent="0.35">
      <c r="C18" s="17" t="s">
        <v>246</v>
      </c>
      <c r="D18" s="21">
        <f ca="1">OFFSET(D26,D12+1,0,1,1)</f>
        <v>0</v>
      </c>
      <c r="E18" s="46" t="s">
        <v>247</v>
      </c>
      <c r="J18" s="68">
        <v>750000</v>
      </c>
      <c r="K18" s="69" t="s">
        <v>248</v>
      </c>
    </row>
    <row r="19" spans="2:16" ht="18" customHeight="1" x14ac:dyDescent="0.3">
      <c r="C19" s="17"/>
      <c r="D19" s="22"/>
      <c r="J19" s="232">
        <v>2500000</v>
      </c>
      <c r="K19" s="234" t="s">
        <v>249</v>
      </c>
      <c r="P19" t="s">
        <v>250</v>
      </c>
    </row>
    <row r="20" spans="2:16" ht="15" thickBot="1" x14ac:dyDescent="0.35">
      <c r="C20" s="17" t="s">
        <v>251</v>
      </c>
      <c r="D20" s="21">
        <f ca="1">SUM(OFFSET(D26,2,0,D12,1))</f>
        <v>2379814.9302698225</v>
      </c>
      <c r="E20" s="23"/>
      <c r="J20" s="233"/>
      <c r="K20" s="235"/>
    </row>
    <row r="21" spans="2:16" x14ac:dyDescent="0.3">
      <c r="C21" s="17" t="s">
        <v>252</v>
      </c>
      <c r="D21" s="41">
        <f>SUM(F27:F63)</f>
        <v>861301.23876241012</v>
      </c>
      <c r="E21" s="23"/>
      <c r="J21" s="57"/>
    </row>
    <row r="22" spans="2:16" x14ac:dyDescent="0.3">
      <c r="C22" s="17" t="s">
        <v>253</v>
      </c>
      <c r="D22" s="21">
        <f ca="1">D20-D9</f>
        <v>-7230185.0697301775</v>
      </c>
    </row>
    <row r="23" spans="2:16" hidden="1" x14ac:dyDescent="0.3">
      <c r="B23" s="18"/>
      <c r="C23" s="22"/>
      <c r="E23" s="24"/>
    </row>
    <row r="24" spans="2:16" hidden="1" x14ac:dyDescent="0.3">
      <c r="B24" s="18"/>
      <c r="C24" s="22"/>
      <c r="E24" s="24"/>
    </row>
    <row r="25" spans="2:16" ht="15.6" x14ac:dyDescent="0.3">
      <c r="B25" s="25" t="s">
        <v>254</v>
      </c>
      <c r="C25" s="25"/>
      <c r="E25" s="19" t="s">
        <v>255</v>
      </c>
      <c r="F25" s="25"/>
      <c r="G25" s="25"/>
    </row>
    <row r="26" spans="2:16" ht="15" thickBot="1" x14ac:dyDescent="0.35">
      <c r="B26" s="26" t="s">
        <v>256</v>
      </c>
      <c r="C26" s="26" t="s">
        <v>257</v>
      </c>
      <c r="D26" s="27" t="s">
        <v>258</v>
      </c>
      <c r="E26" s="27" t="s">
        <v>259</v>
      </c>
      <c r="F26" s="28" t="s">
        <v>260</v>
      </c>
      <c r="G26" s="28" t="s">
        <v>261</v>
      </c>
    </row>
    <row r="27" spans="2:16" x14ac:dyDescent="0.3">
      <c r="B27" s="29"/>
      <c r="C27" s="30">
        <f>D13</f>
        <v>43164</v>
      </c>
      <c r="D27" s="31" t="s">
        <v>262</v>
      </c>
      <c r="E27" s="32" t="s">
        <v>262</v>
      </c>
      <c r="F27" s="32" t="s">
        <v>262</v>
      </c>
      <c r="G27" s="40">
        <f>D9</f>
        <v>9610000</v>
      </c>
    </row>
    <row r="28" spans="2:16" x14ac:dyDescent="0.3">
      <c r="B28" s="33">
        <v>1</v>
      </c>
      <c r="C28" s="34">
        <f>IF(B28="","",DATE(YEAR(C27),MONTH(C27)+1,DAY(C27)))</f>
        <v>43195</v>
      </c>
      <c r="D28" s="35">
        <f t="shared" ref="D28:D62" si="0">E28+F28</f>
        <v>66105.970285272837</v>
      </c>
      <c r="E28" s="35">
        <f>IPMT($D$10/12,$B28,$D$11,-$D$9)</f>
        <v>44045.833333333336</v>
      </c>
      <c r="F28" s="35">
        <f t="shared" ref="F28:F62" si="1">IF($B28=$D$12,G27,PPMT($D$10/12,$B28,$D$11,-$D$9))</f>
        <v>22060.136951939501</v>
      </c>
      <c r="G28" s="35">
        <f>IF(B28="","",G27-F28)</f>
        <v>9587939.8630480599</v>
      </c>
    </row>
    <row r="29" spans="2:16" x14ac:dyDescent="0.3">
      <c r="B29" s="33">
        <f>IF(B28&gt;=$D$9,"",B28+1)</f>
        <v>2</v>
      </c>
      <c r="C29" s="34">
        <f>IF(B29="","",DATE(YEAR(C28),MONTH(C28)+1,DAY(C28)))</f>
        <v>43225</v>
      </c>
      <c r="D29" s="35">
        <f t="shared" si="0"/>
        <v>66105.970285272837</v>
      </c>
      <c r="E29" s="35">
        <f t="shared" ref="E29:E63" si="2">IPMT($D$10/12,$B29,$D$11,-$D$9)</f>
        <v>43944.724372303601</v>
      </c>
      <c r="F29" s="35">
        <f t="shared" si="1"/>
        <v>22161.245912969229</v>
      </c>
      <c r="G29" s="35">
        <f t="shared" ref="G29:G60" si="3">IF(B29="","",G28-F29)</f>
        <v>9565778.6171350908</v>
      </c>
    </row>
    <row r="30" spans="2:16" x14ac:dyDescent="0.3">
      <c r="B30" s="33">
        <f t="shared" ref="B30:B63" si="4">IF(B29&gt;=$D$9,"",B29+1)</f>
        <v>3</v>
      </c>
      <c r="C30" s="34">
        <f t="shared" ref="C30:C60" si="5">IF(B30="","",DATE(YEAR(C29),MONTH(C29)+1,DAY(C29)))</f>
        <v>43256</v>
      </c>
      <c r="D30" s="35">
        <f t="shared" si="0"/>
        <v>66105.970285272837</v>
      </c>
      <c r="E30" s="35">
        <f t="shared" si="2"/>
        <v>43843.151995202497</v>
      </c>
      <c r="F30" s="35">
        <f t="shared" si="1"/>
        <v>22262.818290070332</v>
      </c>
      <c r="G30" s="35">
        <f t="shared" si="3"/>
        <v>9543515.7988450211</v>
      </c>
      <c r="I30" s="36"/>
    </row>
    <row r="31" spans="2:16" x14ac:dyDescent="0.3">
      <c r="B31" s="33">
        <f t="shared" si="4"/>
        <v>4</v>
      </c>
      <c r="C31" s="34">
        <f t="shared" si="5"/>
        <v>43286</v>
      </c>
      <c r="D31" s="35">
        <f t="shared" si="0"/>
        <v>66105.970285272837</v>
      </c>
      <c r="E31" s="35">
        <f t="shared" si="2"/>
        <v>43741.114078039674</v>
      </c>
      <c r="F31" s="35">
        <f t="shared" si="1"/>
        <v>22364.856207233159</v>
      </c>
      <c r="G31" s="35">
        <f t="shared" si="3"/>
        <v>9521150.9426377881</v>
      </c>
    </row>
    <row r="32" spans="2:16" x14ac:dyDescent="0.3">
      <c r="B32" s="33">
        <f t="shared" si="4"/>
        <v>5</v>
      </c>
      <c r="C32" s="34">
        <f t="shared" si="5"/>
        <v>43317</v>
      </c>
      <c r="D32" s="35">
        <f t="shared" si="0"/>
        <v>66105.970285272837</v>
      </c>
      <c r="E32" s="35">
        <f t="shared" si="2"/>
        <v>43638.608487089856</v>
      </c>
      <c r="F32" s="35">
        <f t="shared" si="1"/>
        <v>22467.361798182974</v>
      </c>
      <c r="G32" s="35">
        <f t="shared" si="3"/>
        <v>9498683.580839606</v>
      </c>
    </row>
    <row r="33" spans="2:7" x14ac:dyDescent="0.3">
      <c r="B33" s="33">
        <f t="shared" si="4"/>
        <v>6</v>
      </c>
      <c r="C33" s="34">
        <f t="shared" si="5"/>
        <v>43348</v>
      </c>
      <c r="D33" s="35">
        <f t="shared" si="0"/>
        <v>66105.970285272837</v>
      </c>
      <c r="E33" s="35">
        <f t="shared" si="2"/>
        <v>43535.633078848186</v>
      </c>
      <c r="F33" s="35">
        <f t="shared" si="1"/>
        <v>22570.337206424647</v>
      </c>
      <c r="G33" s="35">
        <f t="shared" si="3"/>
        <v>9476113.2436331809</v>
      </c>
    </row>
    <row r="34" spans="2:7" x14ac:dyDescent="0.3">
      <c r="B34" s="33">
        <f t="shared" si="4"/>
        <v>7</v>
      </c>
      <c r="C34" s="34">
        <f t="shared" si="5"/>
        <v>43378</v>
      </c>
      <c r="D34" s="35">
        <f t="shared" si="0"/>
        <v>66105.970285272837</v>
      </c>
      <c r="E34" s="35">
        <f t="shared" si="2"/>
        <v>43432.185699985406</v>
      </c>
      <c r="F34" s="35">
        <f t="shared" si="1"/>
        <v>22673.784585287427</v>
      </c>
      <c r="G34" s="35">
        <f>IF(B34="","",G33-F34)</f>
        <v>9453439.4590478931</v>
      </c>
    </row>
    <row r="35" spans="2:7" x14ac:dyDescent="0.3">
      <c r="B35" s="33">
        <f t="shared" si="4"/>
        <v>8</v>
      </c>
      <c r="C35" s="34">
        <f t="shared" si="5"/>
        <v>43409</v>
      </c>
      <c r="D35" s="35">
        <f t="shared" si="0"/>
        <v>66105.970285272822</v>
      </c>
      <c r="E35" s="35">
        <f t="shared" si="2"/>
        <v>43328.264187302833</v>
      </c>
      <c r="F35" s="35">
        <f t="shared" si="1"/>
        <v>22777.706097969993</v>
      </c>
      <c r="G35" s="35">
        <f t="shared" si="3"/>
        <v>9430661.7529499233</v>
      </c>
    </row>
    <row r="36" spans="2:7" x14ac:dyDescent="0.3">
      <c r="B36" s="33">
        <f t="shared" si="4"/>
        <v>9</v>
      </c>
      <c r="C36" s="34">
        <f t="shared" si="5"/>
        <v>43439</v>
      </c>
      <c r="D36" s="35">
        <f t="shared" si="0"/>
        <v>66105.970285272837</v>
      </c>
      <c r="E36" s="35">
        <f t="shared" si="2"/>
        <v>43223.866367687137</v>
      </c>
      <c r="F36" s="35">
        <f t="shared" si="1"/>
        <v>22882.103917585693</v>
      </c>
      <c r="G36" s="35">
        <f t="shared" si="3"/>
        <v>9407779.6490323376</v>
      </c>
    </row>
    <row r="37" spans="2:7" x14ac:dyDescent="0.3">
      <c r="B37" s="33">
        <f t="shared" si="4"/>
        <v>10</v>
      </c>
      <c r="C37" s="34">
        <f t="shared" si="5"/>
        <v>43470</v>
      </c>
      <c r="D37" s="35">
        <f t="shared" si="0"/>
        <v>66105.970285272837</v>
      </c>
      <c r="E37" s="35">
        <f t="shared" si="2"/>
        <v>43118.990058064875</v>
      </c>
      <c r="F37" s="35">
        <f t="shared" si="1"/>
        <v>22986.980227207958</v>
      </c>
      <c r="G37" s="35">
        <f t="shared" si="3"/>
        <v>9384792.6688051298</v>
      </c>
    </row>
    <row r="38" spans="2:7" x14ac:dyDescent="0.3">
      <c r="B38" s="33">
        <f t="shared" si="4"/>
        <v>11</v>
      </c>
      <c r="C38" s="34">
        <f t="shared" si="5"/>
        <v>43501</v>
      </c>
      <c r="D38" s="35">
        <f t="shared" si="0"/>
        <v>66105.970285272822</v>
      </c>
      <c r="E38" s="35">
        <f t="shared" si="2"/>
        <v>43013.633065356829</v>
      </c>
      <c r="F38" s="35">
        <f t="shared" si="1"/>
        <v>23092.337219915993</v>
      </c>
      <c r="G38" s="35">
        <f t="shared" si="3"/>
        <v>9361700.3315852135</v>
      </c>
    </row>
    <row r="39" spans="2:7" x14ac:dyDescent="0.3">
      <c r="B39" s="33">
        <f t="shared" si="4"/>
        <v>12</v>
      </c>
      <c r="C39" s="34">
        <f t="shared" si="5"/>
        <v>43529</v>
      </c>
      <c r="D39" s="35">
        <f t="shared" si="0"/>
        <v>66105.970285272837</v>
      </c>
      <c r="E39" s="35">
        <f t="shared" si="2"/>
        <v>42907.793186432231</v>
      </c>
      <c r="F39" s="35">
        <f t="shared" si="1"/>
        <v>23198.177098840606</v>
      </c>
      <c r="G39" s="35">
        <f t="shared" si="3"/>
        <v>9338502.1544863731</v>
      </c>
    </row>
    <row r="40" spans="2:7" x14ac:dyDescent="0.3">
      <c r="B40" s="33">
        <f t="shared" si="4"/>
        <v>13</v>
      </c>
      <c r="C40" s="34">
        <f t="shared" si="5"/>
        <v>43560</v>
      </c>
      <c r="D40" s="35">
        <f t="shared" si="0"/>
        <v>66105.970285272837</v>
      </c>
      <c r="E40" s="35">
        <f t="shared" si="2"/>
        <v>42801.468208062535</v>
      </c>
      <c r="F40" s="35">
        <f t="shared" si="1"/>
        <v>23304.502077210298</v>
      </c>
      <c r="G40" s="35">
        <f t="shared" si="3"/>
        <v>9315197.6524091624</v>
      </c>
    </row>
    <row r="41" spans="2:7" x14ac:dyDescent="0.3">
      <c r="B41" s="33">
        <f t="shared" si="4"/>
        <v>14</v>
      </c>
      <c r="C41" s="34">
        <f t="shared" si="5"/>
        <v>43590</v>
      </c>
      <c r="D41" s="35">
        <f t="shared" si="0"/>
        <v>66105.970285272822</v>
      </c>
      <c r="E41" s="35">
        <f t="shared" si="2"/>
        <v>42694.655906875319</v>
      </c>
      <c r="F41" s="35">
        <f t="shared" si="1"/>
        <v>23411.314378397507</v>
      </c>
      <c r="G41" s="35">
        <f t="shared" si="3"/>
        <v>9291786.3380307648</v>
      </c>
    </row>
    <row r="42" spans="2:7" x14ac:dyDescent="0.3">
      <c r="B42" s="33">
        <f t="shared" si="4"/>
        <v>15</v>
      </c>
      <c r="C42" s="34">
        <f t="shared" si="5"/>
        <v>43621</v>
      </c>
      <c r="D42" s="35">
        <f t="shared" si="0"/>
        <v>66105.970285272837</v>
      </c>
      <c r="E42" s="35">
        <f t="shared" si="2"/>
        <v>42587.354049307665</v>
      </c>
      <c r="F42" s="35">
        <f t="shared" si="1"/>
        <v>23518.616235965164</v>
      </c>
      <c r="G42" s="35">
        <f t="shared" si="3"/>
        <v>9268267.721794799</v>
      </c>
    </row>
    <row r="43" spans="2:7" x14ac:dyDescent="0.3">
      <c r="B43" s="33">
        <f t="shared" si="4"/>
        <v>16</v>
      </c>
      <c r="C43" s="34">
        <f t="shared" si="5"/>
        <v>43651</v>
      </c>
      <c r="D43" s="35">
        <f t="shared" si="0"/>
        <v>66105.970285272837</v>
      </c>
      <c r="E43" s="35">
        <f t="shared" si="2"/>
        <v>42479.560391559498</v>
      </c>
      <c r="F43" s="35">
        <f t="shared" si="1"/>
        <v>23626.409893713335</v>
      </c>
      <c r="G43" s="35">
        <f t="shared" si="3"/>
        <v>9244641.3119010851</v>
      </c>
    </row>
    <row r="44" spans="2:7" x14ac:dyDescent="0.3">
      <c r="B44" s="33">
        <f t="shared" si="4"/>
        <v>17</v>
      </c>
      <c r="C44" s="34">
        <f t="shared" si="5"/>
        <v>43682</v>
      </c>
      <c r="D44" s="35">
        <f t="shared" si="0"/>
        <v>66105.970285272837</v>
      </c>
      <c r="E44" s="35">
        <f t="shared" si="2"/>
        <v>42371.272679546637</v>
      </c>
      <c r="F44" s="35">
        <f t="shared" si="1"/>
        <v>23734.697605726193</v>
      </c>
      <c r="G44" s="35">
        <f t="shared" si="3"/>
        <v>9220906.6142953597</v>
      </c>
    </row>
    <row r="45" spans="2:7" x14ac:dyDescent="0.3">
      <c r="B45" s="33">
        <f t="shared" si="4"/>
        <v>18</v>
      </c>
      <c r="C45" s="34">
        <f t="shared" si="5"/>
        <v>43713</v>
      </c>
      <c r="D45" s="35">
        <f t="shared" si="0"/>
        <v>66105.970285272822</v>
      </c>
      <c r="E45" s="35">
        <f t="shared" si="2"/>
        <v>42262.488648853723</v>
      </c>
      <c r="F45" s="35">
        <f t="shared" si="1"/>
        <v>23843.481636419103</v>
      </c>
      <c r="G45" s="35">
        <f t="shared" si="3"/>
        <v>9197063.1326589398</v>
      </c>
    </row>
    <row r="46" spans="2:7" x14ac:dyDescent="0.3">
      <c r="B46" s="33">
        <f t="shared" si="4"/>
        <v>19</v>
      </c>
      <c r="C46" s="34">
        <f t="shared" si="5"/>
        <v>43743</v>
      </c>
      <c r="D46" s="35">
        <f t="shared" si="0"/>
        <v>66105.970285272837</v>
      </c>
      <c r="E46" s="35">
        <f t="shared" si="2"/>
        <v>42153.206024686806</v>
      </c>
      <c r="F46" s="35">
        <f t="shared" si="1"/>
        <v>23952.764260586024</v>
      </c>
      <c r="G46" s="35">
        <f>IF(B46="","",G45-F46)</f>
        <v>9173110.3683983535</v>
      </c>
    </row>
    <row r="47" spans="2:7" x14ac:dyDescent="0.3">
      <c r="B47" s="33">
        <f t="shared" si="4"/>
        <v>20</v>
      </c>
      <c r="C47" s="34">
        <f t="shared" si="5"/>
        <v>43774</v>
      </c>
      <c r="D47" s="35">
        <f t="shared" si="0"/>
        <v>66105.970285272822</v>
      </c>
      <c r="E47" s="35">
        <f t="shared" si="2"/>
        <v>42043.422521825785</v>
      </c>
      <c r="F47" s="35">
        <f t="shared" si="1"/>
        <v>24062.547763447041</v>
      </c>
      <c r="G47" s="35">
        <f t="shared" si="3"/>
        <v>9149047.8206349071</v>
      </c>
    </row>
    <row r="48" spans="2:7" x14ac:dyDescent="0.3">
      <c r="B48" s="33">
        <f t="shared" si="4"/>
        <v>21</v>
      </c>
      <c r="C48" s="34">
        <f t="shared" si="5"/>
        <v>43804</v>
      </c>
      <c r="D48" s="35">
        <f t="shared" si="0"/>
        <v>66105.970285272837</v>
      </c>
      <c r="E48" s="35">
        <f t="shared" si="2"/>
        <v>41933.13584457666</v>
      </c>
      <c r="F48" s="35">
        <f t="shared" si="1"/>
        <v>24172.834440696177</v>
      </c>
      <c r="G48" s="35">
        <f t="shared" si="3"/>
        <v>9124874.9861942101</v>
      </c>
    </row>
    <row r="49" spans="2:7" x14ac:dyDescent="0.3">
      <c r="B49" s="33">
        <f t="shared" si="4"/>
        <v>22</v>
      </c>
      <c r="C49" s="34">
        <f t="shared" si="5"/>
        <v>43835</v>
      </c>
      <c r="D49" s="35">
        <f t="shared" si="0"/>
        <v>66105.970285272837</v>
      </c>
      <c r="E49" s="35">
        <f t="shared" si="2"/>
        <v>41822.34368672347</v>
      </c>
      <c r="F49" s="35">
        <f t="shared" si="1"/>
        <v>24283.626598549363</v>
      </c>
      <c r="G49" s="35">
        <f t="shared" si="3"/>
        <v>9100591.3595956601</v>
      </c>
    </row>
    <row r="50" spans="2:7" x14ac:dyDescent="0.3">
      <c r="B50" s="33">
        <f t="shared" si="4"/>
        <v>23</v>
      </c>
      <c r="C50" s="34">
        <f t="shared" si="5"/>
        <v>43866</v>
      </c>
      <c r="D50" s="35">
        <f t="shared" si="0"/>
        <v>66105.970285272837</v>
      </c>
      <c r="E50" s="35">
        <f t="shared" si="2"/>
        <v>41711.043731480117</v>
      </c>
      <c r="F50" s="35">
        <f t="shared" si="1"/>
        <v>24394.926553792717</v>
      </c>
      <c r="G50" s="35">
        <f t="shared" si="3"/>
        <v>9076196.4330418669</v>
      </c>
    </row>
    <row r="51" spans="2:7" x14ac:dyDescent="0.3">
      <c r="B51" s="33">
        <f t="shared" si="4"/>
        <v>24</v>
      </c>
      <c r="C51" s="34">
        <f t="shared" si="5"/>
        <v>43895</v>
      </c>
      <c r="D51" s="35">
        <f t="shared" si="0"/>
        <v>66105.970285272837</v>
      </c>
      <c r="E51" s="35">
        <f t="shared" si="2"/>
        <v>41599.2336514419</v>
      </c>
      <c r="F51" s="35">
        <f t="shared" si="1"/>
        <v>24506.736633830933</v>
      </c>
      <c r="G51" s="35">
        <f t="shared" si="3"/>
        <v>9051689.6964080352</v>
      </c>
    </row>
    <row r="52" spans="2:7" x14ac:dyDescent="0.3">
      <c r="B52" s="33">
        <f t="shared" si="4"/>
        <v>25</v>
      </c>
      <c r="C52" s="34">
        <f t="shared" si="5"/>
        <v>43926</v>
      </c>
      <c r="D52" s="35">
        <f t="shared" si="0"/>
        <v>66105.970285272837</v>
      </c>
      <c r="E52" s="35">
        <f t="shared" si="2"/>
        <v>41486.911108536835</v>
      </c>
      <c r="F52" s="35">
        <f t="shared" si="1"/>
        <v>24619.059176735995</v>
      </c>
      <c r="G52" s="35">
        <f t="shared" si="3"/>
        <v>9027070.6372312997</v>
      </c>
    </row>
    <row r="53" spans="2:7" x14ac:dyDescent="0.3">
      <c r="B53" s="33">
        <f t="shared" si="4"/>
        <v>26</v>
      </c>
      <c r="C53" s="34">
        <f t="shared" si="5"/>
        <v>43956</v>
      </c>
      <c r="D53" s="35">
        <f t="shared" si="0"/>
        <v>66105.970285272837</v>
      </c>
      <c r="E53" s="35">
        <f t="shared" si="2"/>
        <v>41374.073753976802</v>
      </c>
      <c r="F53" s="35">
        <f t="shared" si="1"/>
        <v>24731.896531296032</v>
      </c>
      <c r="G53" s="35">
        <f t="shared" si="3"/>
        <v>9002338.7407000028</v>
      </c>
    </row>
    <row r="54" spans="2:7" x14ac:dyDescent="0.3">
      <c r="B54" s="33">
        <f t="shared" si="4"/>
        <v>27</v>
      </c>
      <c r="C54" s="34">
        <f t="shared" si="5"/>
        <v>43987</v>
      </c>
      <c r="D54" s="35">
        <f t="shared" si="0"/>
        <v>66105.970285272837</v>
      </c>
      <c r="E54" s="35">
        <f t="shared" si="2"/>
        <v>41260.719228208356</v>
      </c>
      <c r="F54" s="35">
        <f t="shared" si="1"/>
        <v>24845.251057064474</v>
      </c>
      <c r="G54" s="35">
        <f t="shared" si="3"/>
        <v>8977493.4896429386</v>
      </c>
    </row>
    <row r="55" spans="2:7" x14ac:dyDescent="0.3">
      <c r="B55" s="33">
        <f t="shared" si="4"/>
        <v>28</v>
      </c>
      <c r="C55" s="34">
        <f t="shared" si="5"/>
        <v>44017</v>
      </c>
      <c r="D55" s="35">
        <f t="shared" si="0"/>
        <v>66105.970285272837</v>
      </c>
      <c r="E55" s="35">
        <f t="shared" si="2"/>
        <v>41146.845160863479</v>
      </c>
      <c r="F55" s="35">
        <f t="shared" si="1"/>
        <v>24959.125124409351</v>
      </c>
      <c r="G55" s="35">
        <f t="shared" si="3"/>
        <v>8952534.3645185288</v>
      </c>
    </row>
    <row r="56" spans="2:7" x14ac:dyDescent="0.3">
      <c r="B56" s="33">
        <f t="shared" si="4"/>
        <v>29</v>
      </c>
      <c r="C56" s="34">
        <f t="shared" si="5"/>
        <v>44048</v>
      </c>
      <c r="D56" s="35">
        <f t="shared" si="0"/>
        <v>66105.970285272837</v>
      </c>
      <c r="E56" s="35">
        <f t="shared" si="2"/>
        <v>41032.449170709944</v>
      </c>
      <c r="F56" s="35">
        <f t="shared" si="1"/>
        <v>25073.521114562896</v>
      </c>
      <c r="G56" s="35">
        <f t="shared" si="3"/>
        <v>8927460.8434039652</v>
      </c>
    </row>
    <row r="57" spans="2:7" x14ac:dyDescent="0.3">
      <c r="B57" s="33">
        <f t="shared" si="4"/>
        <v>30</v>
      </c>
      <c r="C57" s="34">
        <f t="shared" si="5"/>
        <v>44079</v>
      </c>
      <c r="D57" s="35">
        <f t="shared" si="0"/>
        <v>66105.970285272822</v>
      </c>
      <c r="E57" s="35">
        <f t="shared" si="2"/>
        <v>40917.528865601518</v>
      </c>
      <c r="F57" s="35">
        <f t="shared" si="1"/>
        <v>25188.441419671308</v>
      </c>
      <c r="G57" s="35">
        <f t="shared" si="3"/>
        <v>8902272.401984293</v>
      </c>
    </row>
    <row r="58" spans="2:7" x14ac:dyDescent="0.3">
      <c r="B58" s="33">
        <f t="shared" si="4"/>
        <v>31</v>
      </c>
      <c r="C58" s="34">
        <f t="shared" si="5"/>
        <v>44109</v>
      </c>
      <c r="D58" s="35">
        <f t="shared" si="0"/>
        <v>66105.970285272837</v>
      </c>
      <c r="E58" s="35">
        <f t="shared" si="2"/>
        <v>40802.08184242803</v>
      </c>
      <c r="F58" s="35">
        <f t="shared" si="1"/>
        <v>25303.8884428448</v>
      </c>
      <c r="G58" s="35">
        <f t="shared" si="3"/>
        <v>8876968.5135414489</v>
      </c>
    </row>
    <row r="59" spans="2:7" x14ac:dyDescent="0.3">
      <c r="B59" s="33">
        <f t="shared" si="4"/>
        <v>32</v>
      </c>
      <c r="C59" s="34">
        <f t="shared" si="5"/>
        <v>44140</v>
      </c>
      <c r="D59" s="35">
        <f t="shared" si="0"/>
        <v>66105.970285272837</v>
      </c>
      <c r="E59" s="35">
        <f t="shared" si="2"/>
        <v>40686.105687064992</v>
      </c>
      <c r="F59" s="35">
        <f t="shared" si="1"/>
        <v>25419.864598207841</v>
      </c>
      <c r="G59" s="35">
        <f t="shared" si="3"/>
        <v>8851548.6489432417</v>
      </c>
    </row>
    <row r="60" spans="2:7" x14ac:dyDescent="0.3">
      <c r="B60" s="33">
        <f t="shared" si="4"/>
        <v>33</v>
      </c>
      <c r="C60" s="34">
        <f t="shared" si="5"/>
        <v>44170</v>
      </c>
      <c r="D60" s="35">
        <f t="shared" si="0"/>
        <v>66105.970285272837</v>
      </c>
      <c r="E60" s="35">
        <f t="shared" si="2"/>
        <v>40569.597974323209</v>
      </c>
      <c r="F60" s="35">
        <f t="shared" si="1"/>
        <v>25536.372310949628</v>
      </c>
      <c r="G60" s="35">
        <f t="shared" si="3"/>
        <v>8826012.2766322922</v>
      </c>
    </row>
    <row r="61" spans="2:7" x14ac:dyDescent="0.3">
      <c r="B61" s="33">
        <f t="shared" si="4"/>
        <v>34</v>
      </c>
      <c r="C61" s="34">
        <f t="shared" ref="C61:C63" si="6">IF(B61="","",DATE(YEAR(C60),MONTH(C60)+1,DAY(C60)))</f>
        <v>44201</v>
      </c>
      <c r="D61" s="35">
        <f t="shared" si="0"/>
        <v>66105.970285272837</v>
      </c>
      <c r="E61" s="35">
        <f t="shared" si="2"/>
        <v>40452.55626789802</v>
      </c>
      <c r="F61" s="35">
        <f t="shared" si="1"/>
        <v>25653.414017374809</v>
      </c>
      <c r="G61" s="35">
        <f t="shared" ref="G61:G63" si="7">IF(B61="","",G60-F61)</f>
        <v>8800358.8626149166</v>
      </c>
    </row>
    <row r="62" spans="2:7" x14ac:dyDescent="0.3">
      <c r="B62" s="33">
        <f t="shared" si="4"/>
        <v>35</v>
      </c>
      <c r="C62" s="34">
        <f t="shared" si="6"/>
        <v>44232</v>
      </c>
      <c r="D62" s="35">
        <f t="shared" si="0"/>
        <v>66105.970285272837</v>
      </c>
      <c r="E62" s="35">
        <f t="shared" si="2"/>
        <v>40334.978120318388</v>
      </c>
      <c r="F62" s="35">
        <f t="shared" si="1"/>
        <v>25770.992164954445</v>
      </c>
      <c r="G62" s="35">
        <f t="shared" si="7"/>
        <v>8774587.8704499621</v>
      </c>
    </row>
    <row r="63" spans="2:7" x14ac:dyDescent="0.3">
      <c r="B63" s="33">
        <f t="shared" si="4"/>
        <v>36</v>
      </c>
      <c r="C63" s="34">
        <f t="shared" si="6"/>
        <v>44260</v>
      </c>
      <c r="D63" s="35">
        <f>E63+F63</f>
        <v>66105.970285272822</v>
      </c>
      <c r="E63" s="35">
        <f t="shared" si="2"/>
        <v>40216.861072895677</v>
      </c>
      <c r="F63" s="35">
        <f>IF($B63=$D$12,G62,PPMT($D$10/12,$B63,$D$11,-$D$9))</f>
        <v>25889.109212377149</v>
      </c>
      <c r="G63" s="35">
        <f t="shared" si="7"/>
        <v>8748698.7612375841</v>
      </c>
    </row>
  </sheetData>
  <mergeCells count="4">
    <mergeCell ref="J17:K17"/>
    <mergeCell ref="J4:K4"/>
    <mergeCell ref="J19:J20"/>
    <mergeCell ref="K19:K20"/>
  </mergeCells>
  <conditionalFormatting sqref="B28:G63">
    <cfRule type="expression" dxfId="0" priority="4" stopIfTrue="1">
      <formula>($B28=$D$9)</formula>
    </cfRule>
  </conditionalFormatting>
  <pageMargins left="0.2" right="0.2" top="0.25" bottom="0" header="0.3" footer="0.3"/>
  <pageSetup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Assumptions</vt:lpstr>
      <vt:lpstr>Instructions</vt:lpstr>
      <vt:lpstr>Weekly</vt:lpstr>
      <vt:lpstr>Coverage Ratio</vt:lpstr>
      <vt:lpstr>Weekly outflows - detail</vt:lpstr>
      <vt:lpstr>Variables &amp; Notes</vt:lpstr>
      <vt:lpstr>Debt Refi Proforma</vt:lpstr>
      <vt:lpstr>August</vt:lpstr>
      <vt:lpstr>Insurance</vt:lpstr>
      <vt:lpstr>July</vt:lpstr>
      <vt:lpstr>Loans___Leases</vt:lpstr>
      <vt:lpstr>Payroll</vt:lpstr>
      <vt:lpstr>Assumptions!Print_Area</vt:lpstr>
      <vt:lpstr>'Coverage Ratio'!Print_Area</vt:lpstr>
      <vt:lpstr>'Variables &amp; Notes'!Print_Area</vt:lpstr>
      <vt:lpstr>Weekly!Print_Area</vt:lpstr>
      <vt:lpstr>'Weekly outflows - detail'!Print_Area</vt:lpstr>
      <vt:lpstr>'Weekly outflows - detail'!Print_Titles</vt:lpstr>
      <vt:lpstr>September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Cheryl Oedy</dc:creator>
  <cp:keywords/>
  <dc:description/>
  <cp:lastModifiedBy>Kate McEwan</cp:lastModifiedBy>
  <cp:revision/>
  <dcterms:created xsi:type="dcterms:W3CDTF">2015-10-14T15:30:42Z</dcterms:created>
  <dcterms:modified xsi:type="dcterms:W3CDTF">2025-07-22T20:21:50Z</dcterms:modified>
  <cp:category/>
  <cp:contentStatus/>
</cp:coreProperties>
</file>